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worksheets/sheet12.xml" ContentType="application/vnd.openxmlformats-officedocument.spreadsheetml.worksheet+xml"/>
  <Override PartName="/xl/drawings/drawing14.xml" ContentType="application/vnd.openxmlformats-officedocument.drawing+xml"/>
  <Override PartName="/xl/worksheets/sheet13.xml" ContentType="application/vnd.openxmlformats-officedocument.spreadsheetml.worksheet+xml"/>
  <Override PartName="/xl/drawings/drawing15.xml" ContentType="application/vnd.openxmlformats-officedocument.drawing+xml"/>
  <Override PartName="/xl/worksheets/sheet14.xml" ContentType="application/vnd.openxmlformats-officedocument.spreadsheetml.worksheet+xml"/>
  <Override PartName="/xl/drawings/drawing1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8.xml" ContentType="application/vnd.openxmlformats-officedocument.drawing+xml"/>
  <Override PartName="/xl/worksheets/sheet18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3.xml" ContentType="application/vnd.openxmlformats-officedocument.drawingml.chartshapes+xml"/>
  <Override PartName="/xl/drawings/drawing10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070" windowHeight="8295" tabRatio="851" activeTab="0"/>
  </bookViews>
  <sheets>
    <sheet name="10.1 PI-2013" sheetId="1" r:id="rId1"/>
    <sheet name="10.2 PEfectiva" sheetId="2" r:id="rId2"/>
    <sheet name="10.3 Incre PI 2013" sheetId="3" r:id="rId3"/>
    <sheet name="10.4 Prod" sheetId="4" r:id="rId4"/>
    <sheet name="10.5 LINEAS" sheetId="5" r:id="rId5"/>
    <sheet name="10.6 VENTAS" sheetId="6" r:id="rId6"/>
    <sheet name="10.7 FACTURAC-2013" sheetId="7" r:id="rId7"/>
    <sheet name="10.8 PRECIO MEDIO" sheetId="8" r:id="rId8"/>
    <sheet name="10.9 VENTAS-CIIU-2013" sheetId="9" r:id="rId9"/>
    <sheet name="10.10 FACT-SECTOR" sheetId="10" r:id="rId10"/>
    <sheet name="10.11 PM-SECTOR" sheetId="11" r:id="rId11"/>
    <sheet name="10.12 CONSUMO_2013 " sheetId="12" r:id="rId12"/>
    <sheet name="10.13 CLIENTES-2013" sheetId="13" r:id="rId13"/>
    <sheet name="10.14 -10.15  y 10.16" sheetId="14" r:id="rId14"/>
    <sheet name="10.17.1 Inversion Privada" sheetId="15" r:id="rId15"/>
    <sheet name="10.17.2 y 3 Publica y Gub." sheetId="16" r:id="rId16"/>
    <sheet name="10.17.4 Evo.Graficos" sheetId="17" r:id="rId17"/>
    <sheet name="10.18 CMg" sheetId="18" r:id="rId18"/>
  </sheets>
  <externalReferences>
    <externalReference r:id="rId21"/>
    <externalReference r:id="rId22"/>
    <externalReference r:id="rId23"/>
    <externalReference r:id="rId24"/>
    <externalReference r:id="rId25"/>
  </externalReferences>
  <definedNames>
    <definedName name="_xlnm.Print_Area" localSheetId="0">'10.1 PI-2013'!$A$2:$O$92</definedName>
    <definedName name="_xlnm.Print_Area" localSheetId="9">'10.10 FACT-SECTOR'!$A$1:$I$60</definedName>
    <definedName name="_xlnm.Print_Area" localSheetId="10">'10.11 PM-SECTOR'!$A$1:$H$63</definedName>
    <definedName name="_xlnm.Print_Area" localSheetId="11">'10.12 CONSUMO_2013 '!$A$2:$H$83</definedName>
    <definedName name="_xlnm.Print_Area" localSheetId="12">'10.13 CLIENTES-2013'!$A$2:$AB$80</definedName>
    <definedName name="_xlnm.Print_Area" localSheetId="13">'10.14 -10.15  y 10.16'!$A$1:$N$97</definedName>
    <definedName name="_xlnm.Print_Area" localSheetId="14">'10.17.1 Inversion Privada'!$A$5:$AA$109</definedName>
    <definedName name="_xlnm.Print_Area" localSheetId="15">'10.17.2 y 3 Publica y Gub.'!$A$6:$AA$53</definedName>
    <definedName name="_xlnm.Print_Area" localSheetId="16">'10.17.4 Evo.Graficos'!$B$6:$AA$230</definedName>
    <definedName name="_xlnm.Print_Area" localSheetId="17">'10.18 CMg'!$AL$4:$AY$45</definedName>
    <definedName name="_xlnm.Print_Area" localSheetId="1">'10.2 PEfectiva'!$A$2:$O$89</definedName>
    <definedName name="_xlnm.Print_Area" localSheetId="2">'10.3 Incre PI 2013'!$A$1:$L$67</definedName>
    <definedName name="_xlnm.Print_Area" localSheetId="3">'10.4 Prod'!$A$1:$O$92</definedName>
    <definedName name="_xlnm.Print_Area" localSheetId="4">'10.5 LINEAS'!$A$2:$J$69</definedName>
    <definedName name="_xlnm.Print_Area" localSheetId="5">'10.6 VENTAS'!$A$6:$K$86</definedName>
    <definedName name="_xlnm.Print_Area" localSheetId="6">'10.7 FACTURAC-2013'!$A$4:$K$83</definedName>
    <definedName name="_xlnm.Print_Area" localSheetId="7">'10.8 PRECIO MEDIO'!$A$6:$K$85</definedName>
    <definedName name="_xlnm.Print_Area" localSheetId="8">'10.9 VENTAS-CIIU-2013'!$A$1:$M$63</definedName>
  </definedNames>
  <calcPr fullCalcOnLoad="1"/>
</workbook>
</file>

<file path=xl/sharedStrings.xml><?xml version="1.0" encoding="utf-8"?>
<sst xmlns="http://schemas.openxmlformats.org/spreadsheetml/2006/main" count="770" uniqueCount="319">
  <si>
    <t>Total</t>
  </si>
  <si>
    <t>Hidro</t>
  </si>
  <si>
    <t>Termo</t>
  </si>
  <si>
    <t>TOTAL</t>
  </si>
  <si>
    <t>Hidráulica</t>
  </si>
  <si>
    <t>Térmica</t>
  </si>
  <si>
    <t>Eólica</t>
  </si>
  <si>
    <t>-----</t>
  </si>
  <si>
    <t>Regulados</t>
  </si>
  <si>
    <t>Libres</t>
  </si>
  <si>
    <t>Distribuidoras</t>
  </si>
  <si>
    <t>Generadoras</t>
  </si>
  <si>
    <t xml:space="preserve">Total </t>
  </si>
  <si>
    <t>Generación</t>
  </si>
  <si>
    <t>Mercado eléctrico</t>
  </si>
  <si>
    <t>Uso propio</t>
  </si>
  <si>
    <t>Regulado</t>
  </si>
  <si>
    <t>Libre</t>
  </si>
  <si>
    <t>Año</t>
  </si>
  <si>
    <t>Mercado Libre</t>
  </si>
  <si>
    <t>Mercado Regulado</t>
  </si>
  <si>
    <t>MAT</t>
  </si>
  <si>
    <t>AT</t>
  </si>
  <si>
    <t>MT</t>
  </si>
  <si>
    <t>BT</t>
  </si>
  <si>
    <t>Total Libre</t>
  </si>
  <si>
    <t>Total Regulado</t>
  </si>
  <si>
    <t>Clientes</t>
  </si>
  <si>
    <t>Totales</t>
  </si>
  <si>
    <t>PERÍODO</t>
  </si>
  <si>
    <t xml:space="preserve">(60 - 70) </t>
  </si>
  <si>
    <t xml:space="preserve">(70 - 80) </t>
  </si>
  <si>
    <t xml:space="preserve">(80 - 90) </t>
  </si>
  <si>
    <t>Total General</t>
  </si>
  <si>
    <t>Potencia Instalada  (MW)</t>
  </si>
  <si>
    <t>Incrementos periódicos de potencia instalada  (%)</t>
  </si>
  <si>
    <t>Crecimiento medio anual de la potencia instalada  (%)</t>
  </si>
  <si>
    <t xml:space="preserve">(90 - 00) </t>
  </si>
  <si>
    <t>Total-ML</t>
  </si>
  <si>
    <t>Total-MR</t>
  </si>
  <si>
    <t>Industrial</t>
  </si>
  <si>
    <t>Comercial</t>
  </si>
  <si>
    <t>Residencial</t>
  </si>
  <si>
    <t>Alumbrado Público</t>
  </si>
  <si>
    <t>%</t>
  </si>
  <si>
    <r>
      <t xml:space="preserve">D </t>
    </r>
    <r>
      <rPr>
        <b/>
        <sz val="10"/>
        <color indexed="9"/>
        <rFont val="Arial"/>
        <family val="2"/>
      </rPr>
      <t>Anual</t>
    </r>
  </si>
  <si>
    <t>Mercado Eléctrico</t>
  </si>
  <si>
    <t>Uso Propio</t>
  </si>
  <si>
    <t xml:space="preserve">10.3   INCREMENTO Y CRECIMIENTO MEDIO ANUAL DE LA POTENCIA INSTALADA POR DÉCADAS </t>
  </si>
  <si>
    <t>10.4.     EVOLUCIÓN DE LA PRODUCCIÓN DE ENERGÍA ELÉCTRICA (GW.h)</t>
  </si>
  <si>
    <t>Tipo de Mercado</t>
  </si>
  <si>
    <t>Facturación a Cliente Final</t>
  </si>
  <si>
    <t>Consumo</t>
  </si>
  <si>
    <t>Ventas a Cliente Final</t>
  </si>
  <si>
    <t>de uso propio</t>
  </si>
  <si>
    <t>10.13 EVOLUCIÓN DEL NÚMERO DE CLIENTES POR NIVEL DE TENSIÓN</t>
  </si>
  <si>
    <t>(*) Fuente: Osinerg-GART, DGE/MINEM</t>
  </si>
  <si>
    <t xml:space="preserve">(00 - 10) </t>
  </si>
  <si>
    <t>POTENCIA INSTALADA</t>
  </si>
  <si>
    <t>AÑO</t>
  </si>
  <si>
    <t>Incremento</t>
  </si>
  <si>
    <t>Solar</t>
  </si>
  <si>
    <t>SOLAR</t>
  </si>
  <si>
    <t>PRODUCCIÓN DE ENERGÍA</t>
  </si>
  <si>
    <t>10.2.     EVOLUCIÓN DE LA POTENCIA EFECTIVA (MW)</t>
  </si>
  <si>
    <t>10.1.     EVOLUCIÓN DE LA POTENCIA INSTALADA (MW)</t>
  </si>
  <si>
    <t>TOT</t>
  </si>
  <si>
    <t>FACT $</t>
  </si>
  <si>
    <t>MWh</t>
  </si>
  <si>
    <t>(Cent. US$/kW.h)</t>
  </si>
  <si>
    <t>I</t>
  </si>
  <si>
    <t>C</t>
  </si>
  <si>
    <t>R</t>
  </si>
  <si>
    <t>A</t>
  </si>
  <si>
    <t>Precio Medio por Sector Económico</t>
  </si>
  <si>
    <t>(US$ por MW.h)</t>
  </si>
  <si>
    <t>(*) Corresponde al cociente de la facturación y venta total de energía eléctrica</t>
  </si>
  <si>
    <t>Precio Medio *</t>
  </si>
  <si>
    <t>10. 12   EVOLUCIÓN DEL CONSUMO DE ENERGÍA ELÉCTRICA (GW.h)</t>
  </si>
  <si>
    <t>10.14    EVOLUCIÓN DEL NÚMERO DE TRABAJADORES</t>
  </si>
  <si>
    <t>TRABAJADORES POR ACTIVIDAD</t>
  </si>
  <si>
    <t>Transmisoras</t>
  </si>
  <si>
    <t>10.15    EVOLUCIÓN DE LAS PÉRDIDAS EN DISTRIBUCIÓN (%)</t>
  </si>
  <si>
    <t>Pérdidas (%)</t>
  </si>
  <si>
    <t>10.16    EVOLUCIÓN DE LA MÁXIMA DEMANDA DEL SEIN (MW)</t>
  </si>
  <si>
    <t>Tasa Anual (%)</t>
  </si>
  <si>
    <t>1997*</t>
  </si>
  <si>
    <t>2001**</t>
  </si>
  <si>
    <t>(**) Se interconecta los sistemas SICN y SIS para conformar el Sistema Eléctrico Interconectado Nacional - SEIN</t>
  </si>
  <si>
    <t>(*) De 1997 a 1999 : SICN + SIS</t>
  </si>
  <si>
    <t xml:space="preserve">Máxima Demanda (MW) </t>
  </si>
  <si>
    <t>-</t>
  </si>
  <si>
    <t>MERCADO ELECTRICO</t>
  </si>
  <si>
    <t>USO PROPIO</t>
  </si>
  <si>
    <t>TARIFA DE BARRA (S/.)</t>
  </si>
  <si>
    <t>COSTO MARGINAL($)</t>
  </si>
  <si>
    <t>TARIFA DE BARRA ($)</t>
  </si>
  <si>
    <t>MES-AÑ0</t>
  </si>
  <si>
    <t>CMGM</t>
  </si>
  <si>
    <t>T.CAMBIO</t>
  </si>
  <si>
    <t>T. BARRA</t>
  </si>
  <si>
    <t>HP</t>
  </si>
  <si>
    <t>HFP</t>
  </si>
  <si>
    <t>PONDERADO</t>
  </si>
  <si>
    <t>PUNTA</t>
  </si>
  <si>
    <t>MEDIA</t>
  </si>
  <si>
    <t>BASE</t>
  </si>
  <si>
    <t>T. B.  HP</t>
  </si>
  <si>
    <t>T. B.  HFP</t>
  </si>
  <si>
    <t>T. B. PONDERADO</t>
  </si>
  <si>
    <t>(S/./KWh)</t>
  </si>
  <si>
    <t>($./KWh)</t>
  </si>
  <si>
    <t>($./MWh)</t>
  </si>
  <si>
    <t>(S/./kW.h)</t>
  </si>
  <si>
    <t>($/./MWh)</t>
  </si>
  <si>
    <t>Ene</t>
  </si>
  <si>
    <t>Mes</t>
  </si>
  <si>
    <t>Costo Marginal</t>
  </si>
  <si>
    <t>Precio en Barra</t>
  </si>
  <si>
    <t>Incrementos</t>
  </si>
  <si>
    <t>Feb</t>
  </si>
  <si>
    <t>(US$/MW.h)</t>
  </si>
  <si>
    <t>CMg</t>
  </si>
  <si>
    <t>Tbarra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</si>
  <si>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</si>
  <si>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</si>
  <si>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</si>
  <si>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</si>
  <si>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</si>
  <si>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</si>
  <si>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</si>
  <si>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</si>
  <si>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</si>
  <si>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</si>
  <si>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DIC</t>
  </si>
  <si>
    <t>Set</t>
  </si>
  <si>
    <t>10.17 EVOLUCIÓN DE INVERSIONES</t>
  </si>
  <si>
    <t>Nº</t>
  </si>
  <si>
    <t>Actividad de generación</t>
  </si>
  <si>
    <t>AGROINDUSTRIAL PARAMONGA</t>
  </si>
  <si>
    <t>AGUAS Y ENERGÍA PERÚ S.A.</t>
  </si>
  <si>
    <t>CEMENTOS LIMA S.A.</t>
  </si>
  <si>
    <t>CEMENTOS NORTE PACASMAYO ENERGÍA S.A.</t>
  </si>
  <si>
    <t>COMPAÑÍA ELÉCTRICA EL PLATANAL S.A.</t>
  </si>
  <si>
    <t>DUKE ENERGY INTERNATIONAL EGENOR S. EN C. POR A.</t>
  </si>
  <si>
    <t>EDEGEL S.A.A.</t>
  </si>
  <si>
    <t>ELECTRICIDAD ANDINA S.A.</t>
  </si>
  <si>
    <t>EMPRESA ADMINISTRADORA CHUNGAR S.A.C.</t>
  </si>
  <si>
    <t>EMPRESA DE GENERACIÓN ELÉCTRICA CHÉVES S.A.</t>
  </si>
  <si>
    <t>EMPRESA DE GENERACIÓN ELÉCTRICA HUANZA S.A.</t>
  </si>
  <si>
    <t>EMPRESA DE GENERACIÓN HIDROELÉCTRICA DEL CUZCO S.A.</t>
  </si>
  <si>
    <t>EMPRESA DE GENERACIÓN MACUSANI S.A.</t>
  </si>
  <si>
    <t>EMPRESA DE GENERACIÓN TERMOELÉCTRICA VENTANILLA S.A.</t>
  </si>
  <si>
    <t>EMPRESA ELÉCTRICA DE PIURA S.A. -EEPSA</t>
  </si>
  <si>
    <t>EMPRESA ELECTRICA NUEVA ESPERANZA</t>
  </si>
  <si>
    <t>EMPRESA GEN. Y COMER. DE SERV.PÚB.DE ELECTRICIDAD PANGOA S.A.</t>
  </si>
  <si>
    <t>EMPRESA PERUANA DE INVERSIONES EN ENERGÍAS RENOVABLES S.A.C.</t>
  </si>
  <si>
    <t>ENERGÍA DEL SUR S.A.</t>
  </si>
  <si>
    <t>FENIX POWER</t>
  </si>
  <si>
    <t>GENERACION ELECTRICA ATOCONGO</t>
  </si>
  <si>
    <t>GENERADORA DE ENERGIA DEL PERU S.A.</t>
  </si>
  <si>
    <t xml:space="preserve">GTS  MAJES S.A.C. </t>
  </si>
  <si>
    <t>GTS  REPARTICION S.A.C.</t>
  </si>
  <si>
    <t>HIDROELECTRICA SANTA CRUZ S.A.C</t>
  </si>
  <si>
    <t>HYDRO TAMBORAQUE</t>
  </si>
  <si>
    <t>KALLPA GENERACIÓN S.A.</t>
  </si>
  <si>
    <t>PERUANA DE ENERGÍA S.A.</t>
  </si>
  <si>
    <t>QUITARACSA S.A. EMPRESA DE GENERACIÓN ELÉCTRICA</t>
  </si>
  <si>
    <t>RER ENERGIA EOLICA SA</t>
  </si>
  <si>
    <t>RER HIDROCAÑETE S.A.</t>
  </si>
  <si>
    <t>RER HUASAHUASI I</t>
  </si>
  <si>
    <t>RER HUASAHUASI II</t>
  </si>
  <si>
    <t>RER MAJA ENERGIA SAC</t>
  </si>
  <si>
    <t>RER PETRAMAS SA CTB HUAYCOLORO</t>
  </si>
  <si>
    <t>RER SOLAR GLOBAL / SOLARPACK SA</t>
  </si>
  <si>
    <t xml:space="preserve">SHOUGANG GENERACIÓN ELÉCTRICA S.A.A. </t>
  </si>
  <si>
    <t xml:space="preserve">SINDICATO ENERGÉTICO S.A. </t>
  </si>
  <si>
    <t>SOCIEDAD MINERA CORONA S.A.</t>
  </si>
  <si>
    <t>TARUCANI GENERATING COMPANY S.A.</t>
  </si>
  <si>
    <t>TERMOCHILCA S.A.C.</t>
  </si>
  <si>
    <t>TERMOSELVA S.R.L.</t>
  </si>
  <si>
    <t>Actividad de transmisión</t>
  </si>
  <si>
    <t>CARAVELI  COTAROUSE TRANSMISORA ANDINA S.A.C</t>
  </si>
  <si>
    <t xml:space="preserve">CONSORCIO ENERGÉTICO DE HUANCAVELICA S.A. </t>
  </si>
  <si>
    <t>CONSORCIO MINERO HORIZONTE S.A.</t>
  </si>
  <si>
    <t>CONSORCIO TRANSMANTARO S.A.</t>
  </si>
  <si>
    <t>ETENORTE S.R.L.</t>
  </si>
  <si>
    <t>ETESELVA S.R.L.</t>
  </si>
  <si>
    <t>INTERCONEXIÓN ELÉCTRICA ISA PERÚ S.A.</t>
  </si>
  <si>
    <t>MINERA AURÍFERA RETAMAS S.A.</t>
  </si>
  <si>
    <t>Actividad de distribución</t>
  </si>
  <si>
    <t xml:space="preserve">CONSORCIO ELÉCTRICO DE VILLACURI S.A.C. </t>
  </si>
  <si>
    <t>EDELNOR S.A.A.</t>
  </si>
  <si>
    <t>ELECTRO PANGOA S.A.</t>
  </si>
  <si>
    <t>ELECTROCENTRO S.A.</t>
  </si>
  <si>
    <r>
      <t xml:space="preserve">ELECTRODUNAS S.A.A. </t>
    </r>
    <r>
      <rPr>
        <vertAlign val="superscript"/>
        <sz val="10"/>
        <rFont val="Tahoma"/>
        <family val="2"/>
      </rPr>
      <t>(2)</t>
    </r>
  </si>
  <si>
    <t xml:space="preserve">ELECTRONOROESTE S.A. </t>
  </si>
  <si>
    <t xml:space="preserve">ELECTRONORTE S.A. </t>
  </si>
  <si>
    <t>EMPRESA DE SERV.ELÉCTRICOS MUNICIPALES DE PARAMONGA S.A.</t>
  </si>
  <si>
    <t>EMPRESA MUNICIPAL DE SERVICIO ELÉCTRICO DE TOCACHE S.A.</t>
  </si>
  <si>
    <t xml:space="preserve">EMPRESA MUNICIPAL DE SERVICIOS ELÉCTRICOS UTCUBAMBA S.A.C. </t>
  </si>
  <si>
    <t>HIDRANDINA S.A.</t>
  </si>
  <si>
    <t>LUZ DEL SUR S.A.A.</t>
  </si>
  <si>
    <t xml:space="preserve">SERVICIOS ELECTRICOS RIOJA S.A. </t>
  </si>
  <si>
    <r>
      <t>1</t>
    </r>
    <r>
      <rPr>
        <sz val="10"/>
        <rFont val="Arial"/>
        <family val="2"/>
      </rPr>
      <t xml:space="preserve"> Globeleq Perú S.A. realizó inversiones hasta junio del 2007, a partir de julio 2007 opera con el nombre de Kallpa Generación S.A.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</si>
  <si>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A partir de abril del año 2010 Electro Sur Medio S.A.A. cambia denominación a Electrodunas S.A.A.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</si>
  <si>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En Febrero de 2010 Electroandes cambia su razón social a SN Power Perú S.A.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</si>
  <si>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En el año 2010 Cahua fue absorbida por Electroandes (Actual SN Power) </t>
    </r>
  </si>
  <si>
    <t>ELECTROANDES S.A.*</t>
  </si>
  <si>
    <t>ELECTROLIMA</t>
  </si>
  <si>
    <t>ELECTROPERÚ S.A.</t>
  </si>
  <si>
    <t xml:space="preserve">EMPRESA DE GENERACIÓN DE ENERGÍA ELÉCTRICA DEL CENTRO S.A. </t>
  </si>
  <si>
    <t>EMPRESA DE GENERACIÓN ELÉCTRICA DE AREQUIPA S.A.</t>
  </si>
  <si>
    <t xml:space="preserve">EMPRESA DE GENERACIÓN ELÉCTRICA DEL SUR S.A. </t>
  </si>
  <si>
    <t xml:space="preserve">EMPRESA DE GENERACIÓN ELÉCTRICA MACHUPICCHU S.A. </t>
  </si>
  <si>
    <t>EMPRESA DE GENERACIÓN ELÉCTRICA SAN GABAN S.A.</t>
  </si>
  <si>
    <t>EMPRESA DE TRANSMISIÓN ELÉCTRICA DEL CENTRO NORTE S.A.</t>
  </si>
  <si>
    <t>EMPRESA DE TRANSMISIÓN ELÉCTRICA DEL SUR S.A.</t>
  </si>
  <si>
    <t>INADE - PROYECTO ESPECIAL OLMOS TINAJONES</t>
  </si>
  <si>
    <t>ELECTRO ORIENTE S.A.</t>
  </si>
  <si>
    <t>ELECTRO PUNO S.A.A.</t>
  </si>
  <si>
    <t>ELECTRO SUR ESTE S.A.A.</t>
  </si>
  <si>
    <t>ELECTRO SUR MEDIO S.A.A.</t>
  </si>
  <si>
    <t>ELECTRO TOCACHE S.A.</t>
  </si>
  <si>
    <t>ELECTRO UCAYALI S.A.</t>
  </si>
  <si>
    <t>ELECTROSUR S.A.</t>
  </si>
  <si>
    <t>ELECTRO NORTE MEDIO - HIDRANDINA S.A.</t>
  </si>
  <si>
    <t>INADE - PROYECTO ESPECIAL CHAVIMOCHIC</t>
  </si>
  <si>
    <t>SOCIEDAD ELÉCTRICA DEL SUR OESTE S.A. (SEAL)</t>
  </si>
  <si>
    <t>(*) En Febrero de 2010 Electroandes cambia su razón social a SN Power Perú S.A. (Privado)</t>
  </si>
  <si>
    <t>Inversiones ejecutadas por la Direccion General de Electrificaciòn Rural</t>
  </si>
  <si>
    <r>
      <t>(*)</t>
    </r>
    <r>
      <rPr>
        <sz val="9"/>
        <rFont val="Arial"/>
        <family val="2"/>
      </rPr>
      <t xml:space="preserve"> La DEP y el FONER se fusionaron en mayo de 2007 creándose la Dirección General de Electrificación Rural - DGER</t>
    </r>
  </si>
  <si>
    <t>Privada</t>
  </si>
  <si>
    <t>Publica</t>
  </si>
  <si>
    <t>Total Inversiones*</t>
  </si>
  <si>
    <t>* Se incluyen las inversiones estatales, privadas y en electrificación rural</t>
  </si>
  <si>
    <t>Empresa</t>
  </si>
  <si>
    <t>Estatal</t>
  </si>
  <si>
    <t>Rural (*)</t>
  </si>
  <si>
    <t>ANDES GENERATING CORPORATION S.A.C.</t>
  </si>
  <si>
    <t>BIOENERGÍA DEL CHIRA S.A.</t>
  </si>
  <si>
    <t>CENTRAL HIDROELECTRICA LANGUI S.A.</t>
  </si>
  <si>
    <t>CENTRAL HIDROELECTRICA SAN HILARION S.A.</t>
  </si>
  <si>
    <t>ECO ENERGY SAC</t>
  </si>
  <si>
    <t>ELECTRICA RIO DOBLE SA</t>
  </si>
  <si>
    <t>ELECTRICA SANTA ROSA S.A.C.</t>
  </si>
  <si>
    <t>EOLICA SA</t>
  </si>
  <si>
    <t>HIDROCAÑETE SA</t>
  </si>
  <si>
    <t>HOT ROCK PERU SA</t>
  </si>
  <si>
    <t>T-SOLAR SAC</t>
  </si>
  <si>
    <t>RED DE ENERGÍA DEL PERÚ S.A.  (REP)</t>
  </si>
  <si>
    <t>RED ELÉCTRICA DEL SUR S.A.        (REDESUR)</t>
  </si>
  <si>
    <t>EMPRESA DE DISTRIBUCION ELECTRICA DE CAÑETE  S.A.</t>
  </si>
  <si>
    <t>Costo marginal de corto plazo y tarifa en barra, 2006-2013 (US$ por MW.h).</t>
  </si>
  <si>
    <t>Incremento 13/12</t>
  </si>
  <si>
    <t>Variación media 13/08</t>
  </si>
  <si>
    <t>Incremento 13/00</t>
  </si>
  <si>
    <t>Variación media 13/00</t>
  </si>
  <si>
    <t>Variación  13/12</t>
  </si>
  <si>
    <t>Media anual 13/08</t>
  </si>
  <si>
    <t>Media anual 13/00</t>
  </si>
  <si>
    <t>Variación 13/12</t>
  </si>
  <si>
    <t>NI-ME</t>
  </si>
  <si>
    <t>Eólico</t>
  </si>
  <si>
    <t xml:space="preserve">(10 - 13) </t>
  </si>
  <si>
    <t>(60 - 13)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</si>
  <si>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</si>
  <si>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</si>
  <si>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</si>
  <si>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</si>
  <si>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</si>
  <si>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</si>
  <si>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</si>
  <si>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</si>
  <si>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</si>
  <si>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</si>
  <si>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</si>
  <si>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</si>
  <si>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</si>
  <si>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</si>
  <si>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Varación 13/12</t>
  </si>
  <si>
    <t>Media Anual 13/08</t>
  </si>
  <si>
    <t>Media Anual 13/00</t>
  </si>
  <si>
    <r>
      <t xml:space="preserve">10.17.3  Inversiones ejecutadas por la Dirección General de Electrificación Rural </t>
    </r>
    <r>
      <rPr>
        <b/>
        <vertAlign val="superscript"/>
        <sz val="14"/>
        <rFont val="Arial"/>
        <family val="2"/>
      </rPr>
      <t>(*)</t>
    </r>
    <r>
      <rPr>
        <b/>
        <sz val="14"/>
        <rFont val="Arial"/>
        <family val="2"/>
      </rPr>
      <t xml:space="preserve"> : Período 1990 - 2013 (miles de US$)</t>
    </r>
  </si>
  <si>
    <t>CHINANGO S.A.C.</t>
  </si>
  <si>
    <t>CERRO DEL AGUILA S.A.</t>
  </si>
  <si>
    <t>CORPORACION MINERA DEL PERU S.A.</t>
  </si>
  <si>
    <t>EMPRESA DE GENERACION HUALLAGA CHAGLLA</t>
  </si>
  <si>
    <t>LA VIRGEN S.A.C.</t>
  </si>
  <si>
    <r>
      <t xml:space="preserve">SN POWER PERU S.A. </t>
    </r>
    <r>
      <rPr>
        <vertAlign val="superscript"/>
        <sz val="10"/>
        <rFont val="Tahoma"/>
        <family val="2"/>
      </rPr>
      <t>(3)</t>
    </r>
  </si>
  <si>
    <r>
      <t xml:space="preserve">GLOBELEQ PERU S.A. </t>
    </r>
    <r>
      <rPr>
        <vertAlign val="superscript"/>
        <sz val="10"/>
        <rFont val="Tahoma"/>
        <family val="2"/>
      </rPr>
      <t>(1)</t>
    </r>
  </si>
  <si>
    <r>
      <t>EMPRESA DE GENERACIÓN ELÉCTRICA CAHUA S.A.</t>
    </r>
    <r>
      <rPr>
        <vertAlign val="superscript"/>
        <sz val="10"/>
        <rFont val="Tahoma"/>
        <family val="2"/>
      </rPr>
      <t xml:space="preserve"> (4)</t>
    </r>
  </si>
  <si>
    <t>ABENGOA S.A.</t>
  </si>
  <si>
    <t>DISTRIBUIDORAS</t>
  </si>
  <si>
    <t>TRANSMISORAS</t>
  </si>
  <si>
    <t>PRIVADA</t>
  </si>
  <si>
    <t>GENERADORAS</t>
  </si>
  <si>
    <t>10.17.4  Total de Inversiones ejecutadas 1990 - 2013 (millones US$)</t>
  </si>
  <si>
    <t>10.17.1  Inversiones ejecutadas por empresas privadas 1990 - 2013 (miles de US$)</t>
  </si>
  <si>
    <t>10.17.2  Inversiones ejecutadas por empresas estatales : Período 1990 - 2013 (miles de US$)</t>
  </si>
  <si>
    <t>10.6.    EVOLUCIÓN DE  VENTAS  DE  ENERGÍA  ELÉCTRICA  A CLIENTE FINAL (GW.h)</t>
  </si>
  <si>
    <t>10.7.  EVOLUCIÓN DE FACTURACIÓN DE ENERGÍA ELÉCTRICA  A CLIENTE FINAL (miles US$)</t>
  </si>
  <si>
    <t>10.8  PRECIO MEDIO DE ENERGÍA ELÉCTRICA  POR TIPO DE EMPRESA Y MERCADO (cent. US$ / kW.h)</t>
  </si>
  <si>
    <t>10.9.    EVOLUCIÓN DE VENTAS DE ENERGÍA ELÉCTRICA POR SECTOR ECONÓMICO (GW.h)</t>
  </si>
  <si>
    <t>10.10  EVOLUCIÓN DE FACTURACIÓN DE ENERGÍA ELÉCTRICA POR SECTOR ECONÓMICO (miles US$)</t>
  </si>
  <si>
    <t>10.11  PRECIO MEDIO DE ENERGÍA ELÉCTRICA POR SECTOR ECONÓMICO (cent. US$/kW.h) *</t>
  </si>
  <si>
    <t>10.17.4.1    Empresas privadas, estatales y por la Dirección General de Electrificación Rural (millones US$)</t>
  </si>
  <si>
    <t>10.18 EVOLUCIÓN DEL COSTO MARGINAL Y LA TARIFA EN BARRA (US$/MW.h)</t>
  </si>
  <si>
    <t>10.5  EVOLUCIÓN DE LA LONGITUD TOTAL DE LÍNEAS DE TRANSMISIÓN A NIVEL NACIONAL (km)</t>
  </si>
  <si>
    <t>Longitud de Líneas de Transmisión</t>
  </si>
  <si>
    <t>Nivel de Tensión ( kV )</t>
  </si>
  <si>
    <t>60 - 75</t>
  </si>
  <si>
    <t>30 - 50</t>
  </si>
  <si>
    <t>60 - 69</t>
  </si>
  <si>
    <t>2011*</t>
  </si>
  <si>
    <t>Variación Media 13/00</t>
  </si>
  <si>
    <t>No incluye el ingreso en operación de la Segunda Terna de 220 kV correspondiente a las Líneas</t>
  </si>
  <si>
    <t>Zapallal - Paramonga Nueva - Chimbote, las cuales consituyen 380 km de lìneas principales.</t>
  </si>
  <si>
    <t>(*) Entra en operación la primera línea en 500 kV  Chilca-La Planicie-Zapallal perteneciente a la empresa ISA Perú S.A.</t>
  </si>
</sst>
</file>

<file path=xl/styles.xml><?xml version="1.0" encoding="utf-8"?>
<styleSheet xmlns="http://schemas.openxmlformats.org/spreadsheetml/2006/main">
  <numFmts count="6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S/.&quot;\ #,##0_);\(&quot;S/.&quot;\ #,##0\)"/>
    <numFmt numFmtId="171" formatCode="&quot;S/.&quot;\ #,##0_);[Red]\(&quot;S/.&quot;\ #,##0\)"/>
    <numFmt numFmtId="172" formatCode="&quot;S/.&quot;\ #,##0.00_);\(&quot;S/.&quot;\ #,##0.00\)"/>
    <numFmt numFmtId="173" formatCode="&quot;S/.&quot;\ #,##0.00_);[Red]\(&quot;S/.&quot;\ #,##0.00\)"/>
    <numFmt numFmtId="174" formatCode="_(&quot;S/.&quot;\ * #,##0_);_(&quot;S/.&quot;\ * \(#,##0\);_(&quot;S/.&quot;\ * &quot;-&quot;_);_(@_)"/>
    <numFmt numFmtId="175" formatCode="_(* #,##0_);_(* \(#,##0\);_(* &quot;-&quot;_);_(@_)"/>
    <numFmt numFmtId="176" formatCode="_(&quot;S/.&quot;\ * #,##0.00_);_(&quot;S/.&quot;\ * \(#,##0.00\);_(&quot;S/.&quot;\ * &quot;-&quot;??_);_(@_)"/>
    <numFmt numFmtId="177" formatCode="_(* #,##0.00_);_(* \(#,##0.00\);_(* &quot;-&quot;??_);_(@_)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&quot;$&quot;* #,##0.00_ ;_ &quot;$&quot;* \-#,##0.00_ ;_ &quot;$&quot;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%"/>
    <numFmt numFmtId="199" formatCode="0.000%"/>
    <numFmt numFmtId="200" formatCode="#\ ##0.00"/>
    <numFmt numFmtId="201" formatCode="0.0"/>
    <numFmt numFmtId="202" formatCode="#,##0.0"/>
    <numFmt numFmtId="203" formatCode="###\ ###\ ###.00"/>
    <numFmt numFmtId="204" formatCode="0.000"/>
    <numFmt numFmtId="205" formatCode="0.0000"/>
    <numFmt numFmtId="206" formatCode="0.00000"/>
    <numFmt numFmtId="207" formatCode="0.000000"/>
    <numFmt numFmtId="208" formatCode="_-[$€]* #,##0.00_-;\-[$€]* #,##0.00_-;_-[$€]* &quot;-&quot;??_-;_-@_-"/>
    <numFmt numFmtId="209" formatCode="#,##0.000"/>
    <numFmt numFmtId="210" formatCode="#\ #,#00"/>
    <numFmt numFmtId="211" formatCode="#\ ##0"/>
    <numFmt numFmtId="212" formatCode="#\ ##0.0"/>
    <numFmt numFmtId="213" formatCode="##\ ##0.00"/>
    <numFmt numFmtId="214" formatCode="_ * #,##0.0_ ;_ * \-#,##0.0_ ;_ * &quot;-&quot;??_ ;_ @_ "/>
    <numFmt numFmtId="215" formatCode="_(* #,##0.000000_);_(* \(#,##0.000000\);_(* &quot;-&quot;??_);_(@_)"/>
    <numFmt numFmtId="216" formatCode="_-* #,##0\ _€_-;\-* #,##0\ _€_-;_-* &quot;-&quot;\ _€_-;_-@_-"/>
    <numFmt numFmtId="217" formatCode="#,##0.0000"/>
    <numFmt numFmtId="218" formatCode="m/d/yyyy"/>
    <numFmt numFmtId="219" formatCode="&quot;Sí&quot;;&quot;Sí&quot;;&quot;No&quot;"/>
    <numFmt numFmtId="220" formatCode="&quot;Verdadero&quot;;&quot;Verdadero&quot;;&quot;Falso&quot;"/>
    <numFmt numFmtId="221" formatCode="&quot;Activado&quot;;&quot;Activado&quot;;&quot;Desactivado&quot;"/>
    <numFmt numFmtId="222" formatCode="[$€-2]\ #,##0.00_);[Red]\([$€-2]\ #,##0.00\)"/>
  </numFmts>
  <fonts count="159">
    <font>
      <sz val="10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color indexed="9"/>
      <name val="Symbol"/>
      <family val="1"/>
    </font>
    <font>
      <i/>
      <sz val="9"/>
      <name val="Arial"/>
      <family val="2"/>
    </font>
    <font>
      <b/>
      <sz val="12"/>
      <name val="Arial"/>
      <family val="2"/>
    </font>
    <font>
      <b/>
      <sz val="12"/>
      <color indexed="33"/>
      <name val="Arial"/>
      <family val="2"/>
    </font>
    <font>
      <b/>
      <sz val="10"/>
      <color indexed="33"/>
      <name val="Arial"/>
      <family val="2"/>
    </font>
    <font>
      <b/>
      <sz val="8"/>
      <name val="Arial"/>
      <family val="2"/>
    </font>
    <font>
      <b/>
      <sz val="10"/>
      <color indexed="9"/>
      <name val="Symbol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Arial"/>
      <family val="2"/>
    </font>
    <font>
      <b/>
      <sz val="12"/>
      <color indexed="9"/>
      <name val="Arial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0"/>
      <name val="Tahoma"/>
      <family val="2"/>
    </font>
    <font>
      <b/>
      <sz val="11"/>
      <name val="Tahoma"/>
      <family val="2"/>
    </font>
    <font>
      <b/>
      <i/>
      <sz val="10"/>
      <name val="Tahoma"/>
      <family val="2"/>
    </font>
    <font>
      <vertAlign val="superscript"/>
      <sz val="10"/>
      <name val="Tahoma"/>
      <family val="2"/>
    </font>
    <font>
      <b/>
      <sz val="10"/>
      <name val="Tahoma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i/>
      <sz val="12"/>
      <name val="Tahoma"/>
      <family val="2"/>
    </font>
    <font>
      <b/>
      <vertAlign val="superscript"/>
      <sz val="14"/>
      <name val="Arial"/>
      <family val="2"/>
    </font>
    <font>
      <b/>
      <sz val="12"/>
      <name val="Tahoma"/>
      <family val="2"/>
    </font>
    <font>
      <vertAlign val="superscript"/>
      <sz val="9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.25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Arial"/>
      <family val="0"/>
    </font>
    <font>
      <sz val="11.25"/>
      <color indexed="8"/>
      <name val="Arial"/>
      <family val="0"/>
    </font>
    <font>
      <sz val="9"/>
      <color indexed="8"/>
      <name val="Arial"/>
      <family val="0"/>
    </font>
    <font>
      <sz val="8.75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0.5"/>
      <color indexed="8"/>
      <name val="Arial Narrow"/>
      <family val="0"/>
    </font>
    <font>
      <b/>
      <sz val="10.5"/>
      <color indexed="8"/>
      <name val="Calibri"/>
      <family val="0"/>
    </font>
    <font>
      <b/>
      <sz val="11"/>
      <color indexed="8"/>
      <name val="Arial"/>
      <family val="0"/>
    </font>
    <font>
      <sz val="11.5"/>
      <color indexed="8"/>
      <name val="Arial"/>
      <family val="0"/>
    </font>
    <font>
      <sz val="11.75"/>
      <color indexed="8"/>
      <name val="Arial"/>
      <family val="0"/>
    </font>
    <font>
      <b/>
      <sz val="12"/>
      <color indexed="8"/>
      <name val="Arial"/>
      <family val="0"/>
    </font>
    <font>
      <sz val="14.5"/>
      <color indexed="8"/>
      <name val="Arial"/>
      <family val="0"/>
    </font>
    <font>
      <sz val="9.5"/>
      <color indexed="8"/>
      <name val="Arial"/>
      <family val="0"/>
    </font>
    <font>
      <sz val="8"/>
      <color indexed="8"/>
      <name val="Calibri"/>
      <family val="0"/>
    </font>
    <font>
      <sz val="15.5"/>
      <color indexed="8"/>
      <name val="Arial"/>
      <family val="0"/>
    </font>
    <font>
      <b/>
      <sz val="10.25"/>
      <color indexed="8"/>
      <name val="Arial"/>
      <family val="0"/>
    </font>
    <font>
      <b/>
      <sz val="9"/>
      <color indexed="8"/>
      <name val="Arial"/>
      <family val="0"/>
    </font>
    <font>
      <sz val="10.25"/>
      <color indexed="8"/>
      <name val="Arial"/>
      <family val="0"/>
    </font>
    <font>
      <b/>
      <sz val="9"/>
      <color indexed="12"/>
      <name val="Arial"/>
      <family val="0"/>
    </font>
    <font>
      <b/>
      <sz val="10.75"/>
      <color indexed="12"/>
      <name val="Arial"/>
      <family val="0"/>
    </font>
    <font>
      <b/>
      <sz val="9"/>
      <color indexed="50"/>
      <name val="Arial"/>
      <family val="0"/>
    </font>
    <font>
      <b/>
      <sz val="10.5"/>
      <color indexed="8"/>
      <name val="Arial"/>
      <family val="0"/>
    </font>
    <font>
      <sz val="15.75"/>
      <color indexed="8"/>
      <name val="Arial"/>
      <family val="0"/>
    </font>
    <font>
      <sz val="10.75"/>
      <color indexed="8"/>
      <name val="Arial"/>
      <family val="0"/>
    </font>
    <font>
      <sz val="22.5"/>
      <color indexed="8"/>
      <name val="Arial"/>
      <family val="0"/>
    </font>
    <font>
      <sz val="8.5"/>
      <color indexed="50"/>
      <name val="Arial"/>
      <family val="0"/>
    </font>
    <font>
      <sz val="8.5"/>
      <color indexed="54"/>
      <name val="Arial"/>
      <family val="0"/>
    </font>
    <font>
      <sz val="8.5"/>
      <color indexed="60"/>
      <name val="Arial"/>
      <family val="0"/>
    </font>
    <font>
      <sz val="8.5"/>
      <color indexed="8"/>
      <name val="Arial"/>
      <family val="0"/>
    </font>
    <font>
      <b/>
      <sz val="9.75"/>
      <color indexed="8"/>
      <name val="Arial"/>
      <family val="0"/>
    </font>
    <font>
      <sz val="17.5"/>
      <color indexed="8"/>
      <name val="Arial"/>
      <family val="0"/>
    </font>
    <font>
      <sz val="8"/>
      <color indexed="12"/>
      <name val="Arial"/>
      <family val="0"/>
    </font>
    <font>
      <b/>
      <sz val="8"/>
      <color indexed="19"/>
      <name val="Arial"/>
      <family val="0"/>
    </font>
    <font>
      <b/>
      <sz val="12"/>
      <color indexed="8"/>
      <name val="Calibri"/>
      <family val="0"/>
    </font>
    <font>
      <sz val="8"/>
      <color indexed="19"/>
      <name val="Arial"/>
      <family val="0"/>
    </font>
    <font>
      <sz val="22.7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7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0"/>
      <color indexed="63"/>
      <name val="Arial"/>
      <family val="2"/>
    </font>
    <font>
      <b/>
      <sz val="12"/>
      <color indexed="63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8"/>
      <color indexed="9"/>
      <name val="Arial"/>
      <family val="2"/>
    </font>
    <font>
      <b/>
      <sz val="12"/>
      <color indexed="9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14"/>
      <color indexed="8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Calibri"/>
      <family val="0"/>
    </font>
    <font>
      <b/>
      <sz val="10.5"/>
      <color indexed="9"/>
      <name val="Arial"/>
      <family val="0"/>
    </font>
    <font>
      <sz val="18"/>
      <color indexed="8"/>
      <name val="Arial"/>
      <family val="0"/>
    </font>
    <font>
      <b/>
      <sz val="12"/>
      <color indexed="8"/>
      <name val="Arial Narrow"/>
      <family val="0"/>
    </font>
    <font>
      <sz val="9.75"/>
      <color indexed="8"/>
      <name val="Arial"/>
      <family val="0"/>
    </font>
    <font>
      <b/>
      <sz val="9.5"/>
      <color indexed="8"/>
      <name val="Arial"/>
      <family val="0"/>
    </font>
    <font>
      <b/>
      <sz val="10.75"/>
      <color indexed="8"/>
      <name val="Arial"/>
      <family val="0"/>
    </font>
    <font>
      <b/>
      <sz val="11.5"/>
      <color indexed="8"/>
      <name val="Arial"/>
      <family val="0"/>
    </font>
    <font>
      <b/>
      <sz val="12"/>
      <color indexed="9"/>
      <name val="Calibri"/>
      <family val="0"/>
    </font>
    <font>
      <b/>
      <sz val="9.75"/>
      <color indexed="9"/>
      <name val="Arial"/>
      <family val="0"/>
    </font>
    <font>
      <b/>
      <sz val="11.75"/>
      <color indexed="10"/>
      <name val="Arial"/>
      <family val="0"/>
    </font>
    <font>
      <b/>
      <sz val="11.75"/>
      <color indexed="17"/>
      <name val="Arial"/>
      <family val="0"/>
    </font>
    <font>
      <b/>
      <sz val="11.75"/>
      <color indexed="14"/>
      <name val="Arial"/>
      <family val="0"/>
    </font>
    <font>
      <b/>
      <sz val="12"/>
      <color indexed="30"/>
      <name val="Arial"/>
      <family val="0"/>
    </font>
    <font>
      <b/>
      <sz val="8.75"/>
      <color indexed="8"/>
      <name val="Arial"/>
      <family val="0"/>
    </font>
    <font>
      <b/>
      <sz val="10.25"/>
      <color indexed="9"/>
      <name val="Arial"/>
      <family val="0"/>
    </font>
    <font>
      <b/>
      <sz val="10.25"/>
      <color indexed="8"/>
      <name val="Calibri"/>
      <family val="0"/>
    </font>
    <font>
      <b/>
      <sz val="12"/>
      <color indexed="12"/>
      <name val="Arial"/>
      <family val="0"/>
    </font>
    <font>
      <b/>
      <sz val="9.5"/>
      <color indexed="9"/>
      <name val="Arial"/>
      <family val="0"/>
    </font>
    <font>
      <b/>
      <sz val="13.5"/>
      <color indexed="8"/>
      <name val="Arial"/>
      <family val="0"/>
    </font>
    <font>
      <b/>
      <sz val="14"/>
      <color indexed="9"/>
      <name val="Tahoma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7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sz val="10"/>
      <color theme="1" tint="0.34999001026153564"/>
      <name val="Arial"/>
      <family val="2"/>
    </font>
    <font>
      <b/>
      <sz val="12"/>
      <color theme="1" tint="0.34999001026153564"/>
      <name val="Arial"/>
      <family val="2"/>
    </font>
    <font>
      <b/>
      <sz val="10"/>
      <color theme="1" tint="0.34999001026153564"/>
      <name val="Arial"/>
      <family val="2"/>
    </font>
    <font>
      <b/>
      <sz val="11"/>
      <color theme="1" tint="0.34999001026153564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12"/>
      <color theme="0"/>
      <name val="Tahoma"/>
      <family val="2"/>
    </font>
    <font>
      <b/>
      <sz val="12"/>
      <color theme="0"/>
      <name val="Arial"/>
      <family val="2"/>
    </font>
    <font>
      <b/>
      <sz val="10"/>
      <color theme="0"/>
      <name val="Tahoma"/>
      <family val="2"/>
    </font>
    <font>
      <sz val="10"/>
      <color theme="0"/>
      <name val="Tahoma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7DDA"/>
        <bgColor indexed="64"/>
      </patternFill>
    </fill>
    <fill>
      <patternFill patternType="solid">
        <fgColor rgb="FF007DDB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</fills>
  <borders count="1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>
        <color indexed="63"/>
      </right>
      <top style="thin">
        <color indexed="22"/>
      </top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dotted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>
        <color indexed="55"/>
      </bottom>
    </border>
    <border>
      <left style="thin"/>
      <right style="thin"/>
      <top style="medium"/>
      <bottom style="thin">
        <color indexed="55"/>
      </bottom>
    </border>
    <border>
      <left style="thin"/>
      <right>
        <color indexed="63"/>
      </right>
      <top style="medium"/>
      <bottom style="thin">
        <color indexed="55"/>
      </bottom>
    </border>
    <border>
      <left>
        <color indexed="63"/>
      </left>
      <right style="thin"/>
      <top style="medium"/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/>
      <bottom style="thin">
        <color indexed="55"/>
      </bottom>
    </border>
    <border>
      <left style="medium"/>
      <right style="medium"/>
      <top style="medium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 style="medium"/>
      <right style="medium"/>
      <top style="thin">
        <color indexed="55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2" fillId="2" borderId="0" applyNumberFormat="0" applyBorder="0" applyAlignment="0" applyProtection="0"/>
    <xf numFmtId="0" fontId="132" fillId="3" borderId="0" applyNumberFormat="0" applyBorder="0" applyAlignment="0" applyProtection="0"/>
    <xf numFmtId="0" fontId="132" fillId="4" borderId="0" applyNumberFormat="0" applyBorder="0" applyAlignment="0" applyProtection="0"/>
    <xf numFmtId="0" fontId="132" fillId="5" borderId="0" applyNumberFormat="0" applyBorder="0" applyAlignment="0" applyProtection="0"/>
    <xf numFmtId="0" fontId="132" fillId="6" borderId="0" applyNumberFormat="0" applyBorder="0" applyAlignment="0" applyProtection="0"/>
    <xf numFmtId="0" fontId="132" fillId="7" borderId="0" applyNumberFormat="0" applyBorder="0" applyAlignment="0" applyProtection="0"/>
    <xf numFmtId="0" fontId="132" fillId="8" borderId="0" applyNumberFormat="0" applyBorder="0" applyAlignment="0" applyProtection="0"/>
    <xf numFmtId="0" fontId="132" fillId="9" borderId="0" applyNumberFormat="0" applyBorder="0" applyAlignment="0" applyProtection="0"/>
    <xf numFmtId="0" fontId="132" fillId="10" borderId="0" applyNumberFormat="0" applyBorder="0" applyAlignment="0" applyProtection="0"/>
    <xf numFmtId="0" fontId="132" fillId="5" borderId="0" applyNumberFormat="0" applyBorder="0" applyAlignment="0" applyProtection="0"/>
    <xf numFmtId="0" fontId="132" fillId="8" borderId="0" applyNumberFormat="0" applyBorder="0" applyAlignment="0" applyProtection="0"/>
    <xf numFmtId="0" fontId="132" fillId="11" borderId="0" applyNumberFormat="0" applyBorder="0" applyAlignment="0" applyProtection="0"/>
    <xf numFmtId="0" fontId="133" fillId="12" borderId="0" applyNumberFormat="0" applyBorder="0" applyAlignment="0" applyProtection="0"/>
    <xf numFmtId="0" fontId="133" fillId="13" borderId="0" applyNumberFormat="0" applyBorder="0" applyAlignment="0" applyProtection="0"/>
    <xf numFmtId="0" fontId="133" fillId="10" borderId="0" applyNumberFormat="0" applyBorder="0" applyAlignment="0" applyProtection="0"/>
    <xf numFmtId="0" fontId="133" fillId="14" borderId="0" applyNumberFormat="0" applyBorder="0" applyAlignment="0" applyProtection="0"/>
    <xf numFmtId="0" fontId="133" fillId="15" borderId="0" applyNumberFormat="0" applyBorder="0" applyAlignment="0" applyProtection="0"/>
    <xf numFmtId="0" fontId="133" fillId="16" borderId="0" applyNumberFormat="0" applyBorder="0" applyAlignment="0" applyProtection="0"/>
    <xf numFmtId="0" fontId="134" fillId="4" borderId="0" applyNumberFormat="0" applyBorder="0" applyAlignment="0" applyProtection="0"/>
    <xf numFmtId="0" fontId="88" fillId="17" borderId="1" applyNumberFormat="0" applyAlignment="0" applyProtection="0"/>
    <xf numFmtId="0" fontId="135" fillId="18" borderId="2" applyNumberFormat="0" applyAlignment="0" applyProtection="0"/>
    <xf numFmtId="0" fontId="22" fillId="0" borderId="3" applyNumberFormat="0" applyFill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33" fillId="19" borderId="0" applyNumberFormat="0" applyBorder="0" applyAlignment="0" applyProtection="0"/>
    <xf numFmtId="0" fontId="133" fillId="20" borderId="0" applyNumberFormat="0" applyBorder="0" applyAlignment="0" applyProtection="0"/>
    <xf numFmtId="0" fontId="133" fillId="21" borderId="0" applyNumberFormat="0" applyBorder="0" applyAlignment="0" applyProtection="0"/>
    <xf numFmtId="0" fontId="133" fillId="14" borderId="0" applyNumberFormat="0" applyBorder="0" applyAlignment="0" applyProtection="0"/>
    <xf numFmtId="0" fontId="133" fillId="22" borderId="0" applyNumberFormat="0" applyBorder="0" applyAlignment="0" applyProtection="0"/>
    <xf numFmtId="0" fontId="133" fillId="23" borderId="0" applyNumberFormat="0" applyBorder="0" applyAlignment="0" applyProtection="0"/>
    <xf numFmtId="0" fontId="136" fillId="7" borderId="1" applyNumberFormat="0" applyAlignment="0" applyProtection="0"/>
    <xf numFmtId="20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7" fillId="3" borderId="0" applyNumberFormat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92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8" fillId="0" borderId="0">
      <alignment/>
      <protection/>
    </xf>
    <xf numFmtId="0" fontId="0" fillId="25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9" fillId="17" borderId="5" applyNumberFormat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3" fillId="0" borderId="8" applyNumberFormat="0" applyFill="0" applyAlignment="0" applyProtection="0"/>
    <xf numFmtId="0" fontId="142" fillId="0" borderId="9" applyNumberFormat="0" applyFill="0" applyAlignment="0" applyProtection="0"/>
  </cellStyleXfs>
  <cellXfs count="126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center"/>
    </xf>
    <xf numFmtId="200" fontId="0" fillId="0" borderId="0" xfId="0" applyNumberFormat="1" applyAlignment="1">
      <alignment/>
    </xf>
    <xf numFmtId="20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vertical="center"/>
    </xf>
    <xf numFmtId="0" fontId="11" fillId="19" borderId="0" xfId="0" applyFont="1" applyFill="1" applyBorder="1" applyAlignment="1">
      <alignment horizontal="center" vertical="center" wrapText="1"/>
    </xf>
    <xf numFmtId="0" fontId="3" fillId="19" borderId="0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26" borderId="0" xfId="0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 horizontal="left"/>
    </xf>
    <xf numFmtId="20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" fontId="0" fillId="0" borderId="11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3" fontId="0" fillId="0" borderId="15" xfId="0" applyNumberFormat="1" applyFill="1" applyBorder="1" applyAlignment="1">
      <alignment vertical="center"/>
    </xf>
    <xf numFmtId="0" fontId="12" fillId="0" borderId="0" xfId="0" applyFont="1" applyFill="1" applyAlignment="1">
      <alignment/>
    </xf>
    <xf numFmtId="9" fontId="0" fillId="0" borderId="13" xfId="60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98" fontId="6" fillId="0" borderId="16" xfId="60" applyNumberFormat="1" applyFont="1" applyFill="1" applyBorder="1" applyAlignment="1">
      <alignment vertical="center"/>
    </xf>
    <xf numFmtId="202" fontId="0" fillId="0" borderId="17" xfId="0" applyNumberFormat="1" applyFill="1" applyBorder="1" applyAlignment="1">
      <alignment/>
    </xf>
    <xf numFmtId="202" fontId="0" fillId="0" borderId="0" xfId="0" applyNumberFormat="1" applyFill="1" applyBorder="1" applyAlignment="1">
      <alignment/>
    </xf>
    <xf numFmtId="202" fontId="0" fillId="0" borderId="18" xfId="0" applyNumberFormat="1" applyFill="1" applyBorder="1" applyAlignment="1">
      <alignment/>
    </xf>
    <xf numFmtId="201" fontId="0" fillId="0" borderId="18" xfId="0" applyNumberFormat="1" applyFill="1" applyBorder="1" applyAlignment="1">
      <alignment/>
    </xf>
    <xf numFmtId="202" fontId="0" fillId="0" borderId="18" xfId="0" applyNumberFormat="1" applyFont="1" applyFill="1" applyBorder="1" applyAlignment="1">
      <alignment/>
    </xf>
    <xf numFmtId="202" fontId="0" fillId="0" borderId="19" xfId="0" applyNumberFormat="1" applyFont="1" applyFill="1" applyBorder="1" applyAlignment="1">
      <alignment/>
    </xf>
    <xf numFmtId="202" fontId="0" fillId="0" borderId="17" xfId="0" applyNumberForma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198" fontId="6" fillId="0" borderId="20" xfId="60" applyNumberFormat="1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198" fontId="6" fillId="0" borderId="22" xfId="60" applyNumberFormat="1" applyFont="1" applyFill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198" fontId="6" fillId="0" borderId="24" xfId="60" applyNumberFormat="1" applyFont="1" applyFill="1" applyBorder="1" applyAlignment="1">
      <alignment vertical="center"/>
    </xf>
    <xf numFmtId="198" fontId="6" fillId="0" borderId="21" xfId="60" applyNumberFormat="1" applyFont="1" applyFill="1" applyBorder="1" applyAlignment="1">
      <alignment vertical="center"/>
    </xf>
    <xf numFmtId="202" fontId="0" fillId="0" borderId="25" xfId="0" applyNumberFormat="1" applyFont="1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202" fontId="4" fillId="0" borderId="28" xfId="0" applyNumberFormat="1" applyFont="1" applyFill="1" applyBorder="1" applyAlignment="1">
      <alignment/>
    </xf>
    <xf numFmtId="202" fontId="0" fillId="0" borderId="30" xfId="0" applyNumberFormat="1" applyFill="1" applyBorder="1" applyAlignment="1">
      <alignment/>
    </xf>
    <xf numFmtId="202" fontId="0" fillId="0" borderId="31" xfId="0" applyNumberFormat="1" applyFill="1" applyBorder="1" applyAlignment="1">
      <alignment/>
    </xf>
    <xf numFmtId="0" fontId="0" fillId="0" borderId="29" xfId="0" applyFill="1" applyBorder="1" applyAlignment="1">
      <alignment horizontal="center" vertical="center"/>
    </xf>
    <xf numFmtId="202" fontId="0" fillId="0" borderId="32" xfId="0" applyNumberFormat="1" applyFill="1" applyBorder="1" applyAlignment="1">
      <alignment vertical="center"/>
    </xf>
    <xf numFmtId="9" fontId="16" fillId="0" borderId="33" xfId="60" applyFont="1" applyFill="1" applyBorder="1" applyAlignment="1">
      <alignment vertical="center"/>
    </xf>
    <xf numFmtId="202" fontId="0" fillId="0" borderId="34" xfId="0" applyNumberFormat="1" applyFill="1" applyBorder="1" applyAlignment="1">
      <alignment vertical="center"/>
    </xf>
    <xf numFmtId="202" fontId="0" fillId="0" borderId="28" xfId="0" applyNumberFormat="1" applyFill="1" applyBorder="1" applyAlignment="1">
      <alignment vertical="center"/>
    </xf>
    <xf numFmtId="9" fontId="16" fillId="0" borderId="0" xfId="60" applyFont="1" applyFill="1" applyBorder="1" applyAlignment="1">
      <alignment vertical="center"/>
    </xf>
    <xf numFmtId="202" fontId="0" fillId="0" borderId="29" xfId="0" applyNumberFormat="1" applyFill="1" applyBorder="1" applyAlignment="1">
      <alignment vertical="center"/>
    </xf>
    <xf numFmtId="198" fontId="6" fillId="0" borderId="35" xfId="60" applyNumberFormat="1" applyFont="1" applyFill="1" applyBorder="1" applyAlignment="1">
      <alignment vertical="center"/>
    </xf>
    <xf numFmtId="198" fontId="6" fillId="0" borderId="36" xfId="60" applyNumberFormat="1" applyFont="1" applyFill="1" applyBorder="1" applyAlignment="1">
      <alignment vertical="center"/>
    </xf>
    <xf numFmtId="0" fontId="16" fillId="0" borderId="37" xfId="0" applyFont="1" applyFill="1" applyBorder="1" applyAlignment="1">
      <alignment vertical="center"/>
    </xf>
    <xf numFmtId="198" fontId="6" fillId="0" borderId="38" xfId="60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2" fontId="0" fillId="0" borderId="0" xfId="0" applyNumberFormat="1" applyAlignment="1">
      <alignment/>
    </xf>
    <xf numFmtId="0" fontId="20" fillId="0" borderId="0" xfId="0" applyFont="1" applyAlignment="1">
      <alignment/>
    </xf>
    <xf numFmtId="199" fontId="0" fillId="0" borderId="0" xfId="65" applyNumberFormat="1" applyFont="1" applyAlignment="1">
      <alignment/>
    </xf>
    <xf numFmtId="0" fontId="0" fillId="0" borderId="40" xfId="0" applyFill="1" applyBorder="1" applyAlignment="1">
      <alignment horizontal="center"/>
    </xf>
    <xf numFmtId="202" fontId="4" fillId="0" borderId="41" xfId="0" applyNumberFormat="1" applyFont="1" applyFill="1" applyBorder="1" applyAlignment="1">
      <alignment/>
    </xf>
    <xf numFmtId="202" fontId="0" fillId="0" borderId="42" xfId="0" applyNumberFormat="1" applyFill="1" applyBorder="1" applyAlignment="1">
      <alignment/>
    </xf>
    <xf numFmtId="202" fontId="0" fillId="0" borderId="43" xfId="0" applyNumberFormat="1" applyFill="1" applyBorder="1" applyAlignment="1">
      <alignment/>
    </xf>
    <xf numFmtId="202" fontId="0" fillId="0" borderId="41" xfId="0" applyNumberFormat="1" applyFill="1" applyBorder="1" applyAlignment="1">
      <alignment/>
    </xf>
    <xf numFmtId="202" fontId="0" fillId="0" borderId="44" xfId="0" applyNumberFormat="1" applyFill="1" applyBorder="1" applyAlignment="1">
      <alignment/>
    </xf>
    <xf numFmtId="202" fontId="0" fillId="0" borderId="45" xfId="0" applyNumberFormat="1" applyFill="1" applyBorder="1" applyAlignment="1">
      <alignment/>
    </xf>
    <xf numFmtId="202" fontId="0" fillId="0" borderId="28" xfId="0" applyNumberFormat="1" applyFill="1" applyBorder="1" applyAlignment="1">
      <alignment/>
    </xf>
    <xf numFmtId="9" fontId="6" fillId="0" borderId="18" xfId="65" applyNumberFormat="1" applyFont="1" applyFill="1" applyBorder="1" applyAlignment="1">
      <alignment horizontal="center"/>
    </xf>
    <xf numFmtId="198" fontId="0" fillId="0" borderId="0" xfId="65" applyNumberFormat="1" applyFont="1" applyAlignment="1">
      <alignment horizontal="center"/>
    </xf>
    <xf numFmtId="198" fontId="0" fillId="0" borderId="0" xfId="65" applyNumberFormat="1" applyFont="1" applyAlignment="1">
      <alignment/>
    </xf>
    <xf numFmtId="199" fontId="0" fillId="0" borderId="0" xfId="0" applyNumberFormat="1" applyAlignment="1">
      <alignment/>
    </xf>
    <xf numFmtId="0" fontId="0" fillId="0" borderId="29" xfId="0" applyNumberFormat="1" applyFill="1" applyBorder="1" applyAlignment="1">
      <alignment horizontal="center" vertical="center"/>
    </xf>
    <xf numFmtId="0" fontId="0" fillId="0" borderId="0" xfId="0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39" xfId="0" applyBorder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9" fontId="6" fillId="0" borderId="32" xfId="65" applyFont="1" applyFill="1" applyBorder="1" applyAlignment="1">
      <alignment horizontal="center"/>
    </xf>
    <xf numFmtId="202" fontId="7" fillId="0" borderId="28" xfId="0" applyNumberFormat="1" applyFont="1" applyFill="1" applyBorder="1" applyAlignment="1">
      <alignment/>
    </xf>
    <xf numFmtId="0" fontId="0" fillId="0" borderId="31" xfId="0" applyFill="1" applyBorder="1" applyAlignment="1">
      <alignment vertical="center"/>
    </xf>
    <xf numFmtId="3" fontId="0" fillId="0" borderId="46" xfId="0" applyNumberFormat="1" applyFill="1" applyBorder="1" applyAlignment="1">
      <alignment vertical="center"/>
    </xf>
    <xf numFmtId="3" fontId="0" fillId="0" borderId="47" xfId="0" applyNumberFormat="1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3" fontId="0" fillId="0" borderId="49" xfId="0" applyNumberFormat="1" applyFill="1" applyBorder="1" applyAlignment="1">
      <alignment vertical="center"/>
    </xf>
    <xf numFmtId="3" fontId="0" fillId="0" borderId="48" xfId="0" applyNumberFormat="1" applyFill="1" applyBorder="1" applyAlignment="1">
      <alignment vertical="center"/>
    </xf>
    <xf numFmtId="3" fontId="0" fillId="0" borderId="50" xfId="0" applyNumberFormat="1" applyFill="1" applyBorder="1" applyAlignment="1">
      <alignment vertical="center"/>
    </xf>
    <xf numFmtId="9" fontId="0" fillId="0" borderId="48" xfId="60" applyFont="1" applyFill="1" applyBorder="1" applyAlignment="1">
      <alignment horizontal="right" vertical="center"/>
    </xf>
    <xf numFmtId="9" fontId="6" fillId="0" borderId="10" xfId="65" applyNumberFormat="1" applyFont="1" applyFill="1" applyBorder="1" applyAlignment="1">
      <alignment horizontal="center"/>
    </xf>
    <xf numFmtId="0" fontId="16" fillId="0" borderId="51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00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9" fontId="6" fillId="0" borderId="21" xfId="65" applyFont="1" applyFill="1" applyBorder="1" applyAlignment="1">
      <alignment horizontal="center"/>
    </xf>
    <xf numFmtId="9" fontId="6" fillId="0" borderId="52" xfId="65" applyNumberFormat="1" applyFont="1" applyFill="1" applyBorder="1" applyAlignment="1">
      <alignment horizontal="center"/>
    </xf>
    <xf numFmtId="9" fontId="6" fillId="0" borderId="53" xfId="65" applyFont="1" applyFill="1" applyBorder="1" applyAlignment="1">
      <alignment horizontal="center"/>
    </xf>
    <xf numFmtId="9" fontId="6" fillId="0" borderId="10" xfId="65" applyFont="1" applyFill="1" applyBorder="1" applyAlignment="1">
      <alignment horizontal="center"/>
    </xf>
    <xf numFmtId="9" fontId="6" fillId="0" borderId="54" xfId="65" applyFont="1" applyFill="1" applyBorder="1" applyAlignment="1">
      <alignment horizontal="center"/>
    </xf>
    <xf numFmtId="0" fontId="4" fillId="0" borderId="10" xfId="0" applyFont="1" applyBorder="1" applyAlignment="1">
      <alignment/>
    </xf>
    <xf numFmtId="9" fontId="6" fillId="0" borderId="55" xfId="65" applyNumberFormat="1" applyFont="1" applyFill="1" applyBorder="1" applyAlignment="1">
      <alignment horizontal="center"/>
    </xf>
    <xf numFmtId="9" fontId="6" fillId="0" borderId="21" xfId="65" applyNumberFormat="1" applyFont="1" applyFill="1" applyBorder="1" applyAlignment="1">
      <alignment horizontal="center"/>
    </xf>
    <xf numFmtId="9" fontId="6" fillId="0" borderId="55" xfId="65" applyFont="1" applyFill="1" applyBorder="1" applyAlignment="1">
      <alignment horizontal="center"/>
    </xf>
    <xf numFmtId="3" fontId="0" fillId="0" borderId="10" xfId="0" applyNumberFormat="1" applyBorder="1" applyAlignment="1">
      <alignment/>
    </xf>
    <xf numFmtId="201" fontId="0" fillId="0" borderId="10" xfId="0" applyNumberFormat="1" applyBorder="1" applyAlignment="1">
      <alignment/>
    </xf>
    <xf numFmtId="202" fontId="0" fillId="0" borderId="10" xfId="0" applyNumberFormat="1" applyBorder="1" applyAlignment="1">
      <alignment/>
    </xf>
    <xf numFmtId="3" fontId="0" fillId="26" borderId="10" xfId="0" applyNumberForma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0" fillId="26" borderId="10" xfId="0" applyNumberFormat="1" applyFont="1" applyFill="1" applyBorder="1" applyAlignment="1">
      <alignment horizontal="center" vertical="center"/>
    </xf>
    <xf numFmtId="198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8" xfId="0" applyBorder="1" applyAlignment="1">
      <alignment/>
    </xf>
    <xf numFmtId="9" fontId="6" fillId="0" borderId="34" xfId="65" applyNumberFormat="1" applyFont="1" applyFill="1" applyBorder="1" applyAlignment="1">
      <alignment horizontal="center"/>
    </xf>
    <xf numFmtId="9" fontId="6" fillId="0" borderId="29" xfId="65" applyNumberFormat="1" applyFont="1" applyFill="1" applyBorder="1" applyAlignment="1">
      <alignment horizontal="center"/>
    </xf>
    <xf numFmtId="9" fontId="6" fillId="0" borderId="29" xfId="65" applyFont="1" applyFill="1" applyBorder="1" applyAlignment="1">
      <alignment horizontal="center"/>
    </xf>
    <xf numFmtId="198" fontId="6" fillId="0" borderId="56" xfId="65" applyNumberFormat="1" applyFont="1" applyFill="1" applyBorder="1" applyAlignment="1">
      <alignment horizontal="center" vertical="center"/>
    </xf>
    <xf numFmtId="198" fontId="6" fillId="0" borderId="35" xfId="65" applyNumberFormat="1" applyFont="1" applyFill="1" applyBorder="1" applyAlignment="1">
      <alignment horizontal="center" vertical="center"/>
    </xf>
    <xf numFmtId="198" fontId="6" fillId="0" borderId="24" xfId="65" applyNumberFormat="1" applyFont="1" applyFill="1" applyBorder="1" applyAlignment="1">
      <alignment horizontal="center" vertical="center"/>
    </xf>
    <xf numFmtId="198" fontId="6" fillId="0" borderId="55" xfId="65" applyNumberFormat="1" applyFont="1" applyFill="1" applyBorder="1" applyAlignment="1">
      <alignment horizontal="center" vertical="center"/>
    </xf>
    <xf numFmtId="198" fontId="6" fillId="0" borderId="57" xfId="65" applyNumberFormat="1" applyFont="1" applyFill="1" applyBorder="1" applyAlignment="1">
      <alignment horizontal="center" vertical="center"/>
    </xf>
    <xf numFmtId="198" fontId="6" fillId="0" borderId="37" xfId="65" applyNumberFormat="1" applyFont="1" applyFill="1" applyBorder="1" applyAlignment="1">
      <alignment horizontal="center" vertical="center"/>
    </xf>
    <xf numFmtId="9" fontId="6" fillId="0" borderId="58" xfId="65" applyFont="1" applyFill="1" applyBorder="1" applyAlignment="1">
      <alignment horizontal="center" vertical="center"/>
    </xf>
    <xf numFmtId="9" fontId="6" fillId="0" borderId="23" xfId="65" applyFont="1" applyFill="1" applyBorder="1" applyAlignment="1">
      <alignment horizontal="center" vertical="center"/>
    </xf>
    <xf numFmtId="198" fontId="6" fillId="0" borderId="0" xfId="60" applyNumberFormat="1" applyFont="1" applyFill="1" applyBorder="1" applyAlignment="1">
      <alignment horizontal="center" vertical="center"/>
    </xf>
    <xf numFmtId="198" fontId="6" fillId="0" borderId="28" xfId="60" applyNumberFormat="1" applyFont="1" applyFill="1" applyBorder="1" applyAlignment="1">
      <alignment horizontal="center" vertical="center"/>
    </xf>
    <xf numFmtId="198" fontId="6" fillId="0" borderId="55" xfId="60" applyNumberFormat="1" applyFont="1" applyFill="1" applyBorder="1" applyAlignment="1">
      <alignment horizontal="center" vertical="center"/>
    </xf>
    <xf numFmtId="198" fontId="6" fillId="0" borderId="59" xfId="60" applyNumberFormat="1" applyFont="1" applyFill="1" applyBorder="1" applyAlignment="1">
      <alignment vertical="center"/>
    </xf>
    <xf numFmtId="198" fontId="6" fillId="0" borderId="0" xfId="60" applyNumberFormat="1" applyFont="1" applyFill="1" applyBorder="1" applyAlignment="1">
      <alignment vertical="center"/>
    </xf>
    <xf numFmtId="0" fontId="0" fillId="0" borderId="28" xfId="0" applyFill="1" applyBorder="1" applyAlignment="1">
      <alignment/>
    </xf>
    <xf numFmtId="198" fontId="6" fillId="0" borderId="60" xfId="60" applyNumberFormat="1" applyFont="1" applyFill="1" applyBorder="1" applyAlignment="1">
      <alignment vertical="center"/>
    </xf>
    <xf numFmtId="198" fontId="6" fillId="0" borderId="61" xfId="60" applyNumberFormat="1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0" fontId="16" fillId="0" borderId="62" xfId="0" applyFont="1" applyFill="1" applyBorder="1" applyAlignment="1">
      <alignment vertical="center"/>
    </xf>
    <xf numFmtId="0" fontId="16" fillId="0" borderId="63" xfId="0" applyFont="1" applyFill="1" applyBorder="1" applyAlignment="1">
      <alignment vertical="center"/>
    </xf>
    <xf numFmtId="198" fontId="6" fillId="0" borderId="63" xfId="60" applyNumberFormat="1" applyFont="1" applyFill="1" applyBorder="1" applyAlignment="1">
      <alignment horizontal="center" vertical="center"/>
    </xf>
    <xf numFmtId="198" fontId="6" fillId="0" borderId="16" xfId="60" applyNumberFormat="1" applyFont="1" applyFill="1" applyBorder="1" applyAlignment="1">
      <alignment horizontal="center" vertical="center"/>
    </xf>
    <xf numFmtId="9" fontId="6" fillId="0" borderId="16" xfId="60" applyFont="1" applyFill="1" applyBorder="1" applyAlignment="1">
      <alignment horizontal="center" vertical="center"/>
    </xf>
    <xf numFmtId="9" fontId="6" fillId="0" borderId="64" xfId="60" applyFont="1" applyFill="1" applyBorder="1" applyAlignment="1">
      <alignment horizontal="center" vertical="center"/>
    </xf>
    <xf numFmtId="198" fontId="6" fillId="0" borderId="10" xfId="65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right"/>
    </xf>
    <xf numFmtId="9" fontId="6" fillId="0" borderId="51" xfId="65" applyFont="1" applyFill="1" applyBorder="1" applyAlignment="1">
      <alignment horizontal="center"/>
    </xf>
    <xf numFmtId="9" fontId="6" fillId="0" borderId="65" xfId="65" applyFont="1" applyFill="1" applyBorder="1" applyAlignment="1">
      <alignment horizontal="center"/>
    </xf>
    <xf numFmtId="202" fontId="7" fillId="0" borderId="29" xfId="0" applyNumberFormat="1" applyFont="1" applyFill="1" applyBorder="1" applyAlignment="1">
      <alignment/>
    </xf>
    <xf numFmtId="0" fontId="0" fillId="0" borderId="0" xfId="0" applyFill="1" applyBorder="1" applyAlignment="1">
      <alignment vertical="center"/>
    </xf>
    <xf numFmtId="4" fontId="0" fillId="0" borderId="18" xfId="0" applyNumberForma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26" xfId="0" applyNumberForma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66" xfId="0" applyNumberFormat="1" applyFill="1" applyBorder="1" applyAlignment="1">
      <alignment/>
    </xf>
    <xf numFmtId="4" fontId="0" fillId="0" borderId="27" xfId="0" applyNumberFormat="1" applyFill="1" applyBorder="1" applyAlignment="1">
      <alignment/>
    </xf>
    <xf numFmtId="4" fontId="0" fillId="0" borderId="67" xfId="0" applyNumberFormat="1" applyFill="1" applyBorder="1" applyAlignment="1">
      <alignment/>
    </xf>
    <xf numFmtId="4" fontId="0" fillId="0" borderId="68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201" fontId="0" fillId="0" borderId="0" xfId="0" applyNumberForma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9" fontId="6" fillId="0" borderId="24" xfId="65" applyNumberFormat="1" applyFont="1" applyFill="1" applyBorder="1" applyAlignment="1">
      <alignment horizontal="center"/>
    </xf>
    <xf numFmtId="9" fontId="6" fillId="0" borderId="19" xfId="65" applyFont="1" applyFill="1" applyBorder="1" applyAlignment="1">
      <alignment horizontal="center"/>
    </xf>
    <xf numFmtId="9" fontId="6" fillId="0" borderId="0" xfId="60" applyFont="1" applyFill="1" applyBorder="1" applyAlignment="1">
      <alignment horizontal="center" vertical="center"/>
    </xf>
    <xf numFmtId="20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51" xfId="0" applyFont="1" applyFill="1" applyBorder="1" applyAlignment="1">
      <alignment horizontal="center"/>
    </xf>
    <xf numFmtId="3" fontId="0" fillId="0" borderId="69" xfId="0" applyNumberFormat="1" applyFill="1" applyBorder="1" applyAlignment="1">
      <alignment vertical="center"/>
    </xf>
    <xf numFmtId="0" fontId="0" fillId="0" borderId="70" xfId="0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0" fillId="0" borderId="72" xfId="0" applyFill="1" applyBorder="1" applyAlignment="1">
      <alignment vertical="center"/>
    </xf>
    <xf numFmtId="3" fontId="0" fillId="0" borderId="73" xfId="0" applyNumberFormat="1" applyFill="1" applyBorder="1" applyAlignment="1">
      <alignment vertical="center"/>
    </xf>
    <xf numFmtId="9" fontId="0" fillId="0" borderId="72" xfId="60" applyFont="1" applyFill="1" applyBorder="1" applyAlignment="1">
      <alignment horizontal="right" vertical="center"/>
    </xf>
    <xf numFmtId="0" fontId="0" fillId="0" borderId="74" xfId="0" applyFill="1" applyBorder="1" applyAlignment="1">
      <alignment vertical="center"/>
    </xf>
    <xf numFmtId="3" fontId="0" fillId="0" borderId="0" xfId="0" applyNumberFormat="1" applyBorder="1" applyAlignment="1">
      <alignment/>
    </xf>
    <xf numFmtId="198" fontId="0" fillId="0" borderId="0" xfId="0" applyNumberFormat="1" applyFill="1" applyBorder="1" applyAlignment="1">
      <alignment horizontal="center" vertical="center"/>
    </xf>
    <xf numFmtId="0" fontId="0" fillId="0" borderId="75" xfId="0" applyFill="1" applyBorder="1" applyAlignment="1">
      <alignment vertical="center"/>
    </xf>
    <xf numFmtId="3" fontId="0" fillId="0" borderId="70" xfId="0" applyNumberFormat="1" applyFill="1" applyBorder="1" applyAlignment="1">
      <alignment vertical="center"/>
    </xf>
    <xf numFmtId="3" fontId="0" fillId="0" borderId="75" xfId="0" applyNumberFormat="1" applyFill="1" applyBorder="1" applyAlignment="1">
      <alignment vertical="center"/>
    </xf>
    <xf numFmtId="3" fontId="0" fillId="0" borderId="72" xfId="0" applyNumberFormat="1" applyFill="1" applyBorder="1" applyAlignment="1">
      <alignment vertical="center"/>
    </xf>
    <xf numFmtId="202" fontId="0" fillId="0" borderId="0" xfId="0" applyNumberFormat="1" applyAlignment="1">
      <alignment horizontal="right"/>
    </xf>
    <xf numFmtId="0" fontId="0" fillId="0" borderId="76" xfId="0" applyFont="1" applyFill="1" applyBorder="1" applyAlignment="1">
      <alignment horizontal="center"/>
    </xf>
    <xf numFmtId="0" fontId="0" fillId="0" borderId="77" xfId="0" applyFill="1" applyBorder="1" applyAlignment="1">
      <alignment vertical="center"/>
    </xf>
    <xf numFmtId="0" fontId="0" fillId="0" borderId="78" xfId="0" applyFill="1" applyBorder="1" applyAlignment="1">
      <alignment vertical="center"/>
    </xf>
    <xf numFmtId="0" fontId="0" fillId="0" borderId="79" xfId="0" applyFill="1" applyBorder="1" applyAlignment="1">
      <alignment vertical="center"/>
    </xf>
    <xf numFmtId="0" fontId="0" fillId="0" borderId="69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0" fillId="0" borderId="78" xfId="0" applyNumberFormat="1" applyFill="1" applyBorder="1" applyAlignment="1">
      <alignment vertical="center"/>
    </xf>
    <xf numFmtId="3" fontId="0" fillId="0" borderId="79" xfId="0" applyNumberFormat="1" applyFill="1" applyBorder="1" applyAlignment="1">
      <alignment vertical="center"/>
    </xf>
    <xf numFmtId="3" fontId="0" fillId="0" borderId="74" xfId="0" applyNumberForma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6" fillId="0" borderId="56" xfId="0" applyFont="1" applyFill="1" applyBorder="1" applyAlignment="1">
      <alignment vertical="center"/>
    </xf>
    <xf numFmtId="0" fontId="16" fillId="0" borderId="65" xfId="0" applyFont="1" applyFill="1" applyBorder="1" applyAlignment="1">
      <alignment vertical="center"/>
    </xf>
    <xf numFmtId="0" fontId="16" fillId="0" borderId="55" xfId="0" applyFont="1" applyFill="1" applyBorder="1" applyAlignment="1">
      <alignment vertical="center"/>
    </xf>
    <xf numFmtId="0" fontId="0" fillId="0" borderId="0" xfId="57">
      <alignment/>
      <protection/>
    </xf>
    <xf numFmtId="0" fontId="1" fillId="0" borderId="0" xfId="57" applyFont="1" applyAlignment="1">
      <alignment horizontal="centerContinuous"/>
      <protection/>
    </xf>
    <xf numFmtId="0" fontId="0" fillId="0" borderId="0" xfId="57" applyBorder="1" applyAlignment="1">
      <alignment horizontal="centerContinuous"/>
      <protection/>
    </xf>
    <xf numFmtId="0" fontId="0" fillId="0" borderId="0" xfId="57" applyAlignment="1">
      <alignment horizontal="centerContinuous"/>
      <protection/>
    </xf>
    <xf numFmtId="0" fontId="4" fillId="0" borderId="36" xfId="57" applyFont="1" applyBorder="1" applyAlignment="1">
      <alignment horizontal="center"/>
      <protection/>
    </xf>
    <xf numFmtId="0" fontId="4" fillId="0" borderId="10" xfId="57" applyFont="1" applyBorder="1" applyAlignment="1">
      <alignment horizontal="center"/>
      <protection/>
    </xf>
    <xf numFmtId="200" fontId="0" fillId="0" borderId="0" xfId="57" applyNumberFormat="1">
      <alignment/>
      <protection/>
    </xf>
    <xf numFmtId="0" fontId="0" fillId="0" borderId="17" xfId="57" applyBorder="1" applyAlignment="1">
      <alignment horizontal="center"/>
      <protection/>
    </xf>
    <xf numFmtId="201" fontId="0" fillId="0" borderId="17" xfId="57" applyNumberFormat="1" applyBorder="1" applyAlignment="1">
      <alignment horizontal="center"/>
      <protection/>
    </xf>
    <xf numFmtId="0" fontId="0" fillId="0" borderId="18" xfId="57" applyBorder="1">
      <alignment/>
      <protection/>
    </xf>
    <xf numFmtId="3" fontId="0" fillId="27" borderId="29" xfId="57" applyNumberFormat="1" applyFill="1" applyBorder="1" applyAlignment="1">
      <alignment horizontal="center"/>
      <protection/>
    </xf>
    <xf numFmtId="202" fontId="4" fillId="27" borderId="60" xfId="57" applyNumberFormat="1" applyFont="1" applyFill="1" applyBorder="1">
      <alignment/>
      <protection/>
    </xf>
    <xf numFmtId="202" fontId="0" fillId="27" borderId="60" xfId="57" applyNumberFormat="1" applyFill="1" applyBorder="1">
      <alignment/>
      <protection/>
    </xf>
    <xf numFmtId="202" fontId="0" fillId="27" borderId="17" xfId="57" applyNumberFormat="1" applyFill="1" applyBorder="1">
      <alignment/>
      <protection/>
    </xf>
    <xf numFmtId="201" fontId="0" fillId="27" borderId="18" xfId="57" applyNumberFormat="1" applyFill="1" applyBorder="1" applyAlignment="1" quotePrefix="1">
      <alignment horizontal="center"/>
      <protection/>
    </xf>
    <xf numFmtId="202" fontId="0" fillId="27" borderId="0" xfId="57" applyNumberFormat="1" applyFill="1" applyBorder="1">
      <alignment/>
      <protection/>
    </xf>
    <xf numFmtId="201" fontId="0" fillId="27" borderId="17" xfId="57" applyNumberFormat="1" applyFill="1" applyBorder="1">
      <alignment/>
      <protection/>
    </xf>
    <xf numFmtId="202" fontId="0" fillId="27" borderId="30" xfId="57" applyNumberFormat="1" applyFont="1" applyFill="1" applyBorder="1">
      <alignment/>
      <protection/>
    </xf>
    <xf numFmtId="198" fontId="6" fillId="0" borderId="18" xfId="62" applyNumberFormat="1" applyFont="1" applyBorder="1" applyAlignment="1">
      <alignment horizontal="center"/>
    </xf>
    <xf numFmtId="211" fontId="0" fillId="7" borderId="29" xfId="57" applyNumberFormat="1" applyFill="1" applyBorder="1" applyAlignment="1">
      <alignment horizontal="center"/>
      <protection/>
    </xf>
    <xf numFmtId="202" fontId="4" fillId="7" borderId="60" xfId="57" applyNumberFormat="1" applyFont="1" applyFill="1" applyBorder="1">
      <alignment/>
      <protection/>
    </xf>
    <xf numFmtId="202" fontId="0" fillId="7" borderId="60" xfId="57" applyNumberFormat="1" applyFill="1" applyBorder="1">
      <alignment/>
      <protection/>
    </xf>
    <xf numFmtId="202" fontId="0" fillId="7" borderId="17" xfId="57" applyNumberFormat="1" applyFill="1" applyBorder="1">
      <alignment/>
      <protection/>
    </xf>
    <xf numFmtId="201" fontId="0" fillId="7" borderId="18" xfId="57" applyNumberFormat="1" applyFill="1" applyBorder="1" applyAlignment="1" quotePrefix="1">
      <alignment horizontal="center"/>
      <protection/>
    </xf>
    <xf numFmtId="201" fontId="0" fillId="7" borderId="17" xfId="57" applyNumberFormat="1" applyFill="1" applyBorder="1">
      <alignment/>
      <protection/>
    </xf>
    <xf numFmtId="202" fontId="0" fillId="7" borderId="30" xfId="57" applyNumberFormat="1" applyFont="1" applyFill="1" applyBorder="1">
      <alignment/>
      <protection/>
    </xf>
    <xf numFmtId="211" fontId="0" fillId="27" borderId="29" xfId="57" applyNumberFormat="1" applyFill="1" applyBorder="1" applyAlignment="1">
      <alignment horizontal="center"/>
      <protection/>
    </xf>
    <xf numFmtId="202" fontId="0" fillId="27" borderId="18" xfId="57" applyNumberFormat="1" applyFill="1" applyBorder="1">
      <alignment/>
      <protection/>
    </xf>
    <xf numFmtId="201" fontId="0" fillId="27" borderId="18" xfId="57" applyNumberFormat="1" applyFill="1" applyBorder="1" applyAlignment="1">
      <alignment horizontal="right"/>
      <protection/>
    </xf>
    <xf numFmtId="201" fontId="0" fillId="27" borderId="18" xfId="57" applyNumberFormat="1" applyFill="1" applyBorder="1">
      <alignment/>
      <protection/>
    </xf>
    <xf numFmtId="202" fontId="0" fillId="7" borderId="18" xfId="57" applyNumberFormat="1" applyFill="1" applyBorder="1">
      <alignment/>
      <protection/>
    </xf>
    <xf numFmtId="201" fontId="0" fillId="7" borderId="18" xfId="57" applyNumberFormat="1" applyFill="1" applyBorder="1" applyAlignment="1">
      <alignment horizontal="right"/>
      <protection/>
    </xf>
    <xf numFmtId="201" fontId="0" fillId="7" borderId="18" xfId="57" applyNumberFormat="1" applyFill="1" applyBorder="1">
      <alignment/>
      <protection/>
    </xf>
    <xf numFmtId="201" fontId="0" fillId="0" borderId="18" xfId="57" applyNumberFormat="1" applyBorder="1" applyAlignment="1">
      <alignment horizontal="center"/>
      <protection/>
    </xf>
    <xf numFmtId="0" fontId="0" fillId="0" borderId="0" xfId="57" applyAlignment="1">
      <alignment horizontal="right"/>
      <protection/>
    </xf>
    <xf numFmtId="0" fontId="0" fillId="0" borderId="57" xfId="57" applyBorder="1" applyAlignment="1">
      <alignment horizontal="center"/>
      <protection/>
    </xf>
    <xf numFmtId="201" fontId="0" fillId="0" borderId="80" xfId="57" applyNumberFormat="1" applyBorder="1" applyAlignment="1">
      <alignment horizontal="center"/>
      <protection/>
    </xf>
    <xf numFmtId="198" fontId="6" fillId="0" borderId="80" xfId="62" applyNumberFormat="1" applyFont="1" applyBorder="1" applyAlignment="1">
      <alignment horizontal="center"/>
    </xf>
    <xf numFmtId="0" fontId="0" fillId="0" borderId="0" xfId="57" applyFill="1">
      <alignment/>
      <protection/>
    </xf>
    <xf numFmtId="202" fontId="0" fillId="0" borderId="17" xfId="57" applyNumberFormat="1" applyFill="1" applyBorder="1">
      <alignment/>
      <protection/>
    </xf>
    <xf numFmtId="201" fontId="0" fillId="0" borderId="18" xfId="57" applyNumberFormat="1" applyFill="1" applyBorder="1">
      <alignment/>
      <protection/>
    </xf>
    <xf numFmtId="202" fontId="0" fillId="0" borderId="18" xfId="57" applyNumberFormat="1" applyFill="1" applyBorder="1">
      <alignment/>
      <protection/>
    </xf>
    <xf numFmtId="211" fontId="0" fillId="28" borderId="29" xfId="57" applyNumberFormat="1" applyFill="1" applyBorder="1" applyAlignment="1">
      <alignment horizontal="center"/>
      <protection/>
    </xf>
    <xf numFmtId="202" fontId="0" fillId="28" borderId="17" xfId="57" applyNumberFormat="1" applyFill="1" applyBorder="1">
      <alignment/>
      <protection/>
    </xf>
    <xf numFmtId="201" fontId="0" fillId="28" borderId="18" xfId="57" applyNumberFormat="1" applyFill="1" applyBorder="1">
      <alignment/>
      <protection/>
    </xf>
    <xf numFmtId="202" fontId="0" fillId="28" borderId="18" xfId="57" applyNumberFormat="1" applyFill="1" applyBorder="1">
      <alignment/>
      <protection/>
    </xf>
    <xf numFmtId="202" fontId="0" fillId="28" borderId="30" xfId="57" applyNumberFormat="1" applyFont="1" applyFill="1" applyBorder="1">
      <alignment/>
      <protection/>
    </xf>
    <xf numFmtId="202" fontId="0" fillId="0" borderId="30" xfId="57" applyNumberFormat="1" applyFont="1" applyFill="1" applyBorder="1">
      <alignment/>
      <protection/>
    </xf>
    <xf numFmtId="0" fontId="16" fillId="7" borderId="81" xfId="57" applyFont="1" applyFill="1" applyBorder="1">
      <alignment/>
      <protection/>
    </xf>
    <xf numFmtId="9" fontId="6" fillId="7" borderId="82" xfId="62" applyNumberFormat="1" applyFont="1" applyFill="1" applyBorder="1" applyAlignment="1">
      <alignment horizontal="center"/>
    </xf>
    <xf numFmtId="9" fontId="6" fillId="7" borderId="83" xfId="62" applyNumberFormat="1" applyFont="1" applyFill="1" applyBorder="1" applyAlignment="1">
      <alignment horizontal="center"/>
    </xf>
    <xf numFmtId="9" fontId="6" fillId="0" borderId="0" xfId="62" applyNumberFormat="1" applyFont="1" applyFill="1" applyBorder="1" applyAlignment="1">
      <alignment horizontal="center"/>
    </xf>
    <xf numFmtId="9" fontId="6" fillId="7" borderId="84" xfId="62" applyNumberFormat="1" applyFont="1" applyFill="1" applyBorder="1" applyAlignment="1">
      <alignment horizontal="center"/>
    </xf>
    <xf numFmtId="0" fontId="4" fillId="0" borderId="36" xfId="57" applyFont="1" applyBorder="1" applyAlignment="1">
      <alignment/>
      <protection/>
    </xf>
    <xf numFmtId="0" fontId="4" fillId="0" borderId="85" xfId="57" applyFont="1" applyBorder="1" applyAlignment="1">
      <alignment horizontal="center"/>
      <protection/>
    </xf>
    <xf numFmtId="0" fontId="4" fillId="0" borderId="22" xfId="57" applyFont="1" applyBorder="1" applyAlignment="1">
      <alignment horizontal="center"/>
      <protection/>
    </xf>
    <xf numFmtId="0" fontId="16" fillId="0" borderId="86" xfId="57" applyFont="1" applyFill="1" applyBorder="1">
      <alignment/>
      <protection/>
    </xf>
    <xf numFmtId="9" fontId="6" fillId="0" borderId="87" xfId="62" applyNumberFormat="1" applyFont="1" applyFill="1" applyBorder="1" applyAlignment="1">
      <alignment horizontal="center"/>
    </xf>
    <xf numFmtId="9" fontId="6" fillId="0" borderId="88" xfId="62" applyNumberFormat="1" applyFont="1" applyFill="1" applyBorder="1" applyAlignment="1">
      <alignment horizontal="center"/>
    </xf>
    <xf numFmtId="9" fontId="6" fillId="0" borderId="89" xfId="62" applyNumberFormat="1" applyFont="1" applyFill="1" applyBorder="1" applyAlignment="1">
      <alignment horizontal="center"/>
    </xf>
    <xf numFmtId="9" fontId="0" fillId="0" borderId="0" xfId="57" applyNumberFormat="1" applyFill="1" applyBorder="1">
      <alignment/>
      <protection/>
    </xf>
    <xf numFmtId="9" fontId="0" fillId="0" borderId="0" xfId="57" applyNumberFormat="1" applyFill="1">
      <alignment/>
      <protection/>
    </xf>
    <xf numFmtId="200" fontId="0" fillId="0" borderId="0" xfId="57" applyNumberFormat="1" applyFill="1">
      <alignment/>
      <protection/>
    </xf>
    <xf numFmtId="0" fontId="4" fillId="0" borderId="44" xfId="57" applyFont="1" applyFill="1" applyBorder="1" applyAlignment="1">
      <alignment horizontal="center"/>
      <protection/>
    </xf>
    <xf numFmtId="0" fontId="4" fillId="0" borderId="43" xfId="57" applyFont="1" applyFill="1" applyBorder="1" applyAlignment="1">
      <alignment horizontal="center"/>
      <protection/>
    </xf>
    <xf numFmtId="0" fontId="4" fillId="0" borderId="90" xfId="57" applyFont="1" applyFill="1" applyBorder="1" applyAlignment="1">
      <alignment horizontal="center"/>
      <protection/>
    </xf>
    <xf numFmtId="0" fontId="16" fillId="7" borderId="86" xfId="57" applyFont="1" applyFill="1" applyBorder="1">
      <alignment/>
      <protection/>
    </xf>
    <xf numFmtId="9" fontId="6" fillId="7" borderId="87" xfId="62" applyNumberFormat="1" applyFont="1" applyFill="1" applyBorder="1" applyAlignment="1">
      <alignment horizontal="center"/>
    </xf>
    <xf numFmtId="9" fontId="6" fillId="7" borderId="88" xfId="62" applyNumberFormat="1" applyFont="1" applyFill="1" applyBorder="1" applyAlignment="1">
      <alignment horizontal="center"/>
    </xf>
    <xf numFmtId="9" fontId="6" fillId="7" borderId="89" xfId="62" applyNumberFormat="1" applyFont="1" applyFill="1" applyBorder="1" applyAlignment="1">
      <alignment horizontal="center"/>
    </xf>
    <xf numFmtId="0" fontId="4" fillId="0" borderId="44" xfId="57" applyFont="1" applyBorder="1" applyAlignment="1">
      <alignment horizontal="center"/>
      <protection/>
    </xf>
    <xf numFmtId="0" fontId="4" fillId="0" borderId="43" xfId="57" applyFont="1" applyBorder="1" applyAlignment="1">
      <alignment horizontal="center"/>
      <protection/>
    </xf>
    <xf numFmtId="0" fontId="4" fillId="0" borderId="90" xfId="57" applyFont="1" applyBorder="1" applyAlignment="1">
      <alignment horizontal="center"/>
      <protection/>
    </xf>
    <xf numFmtId="0" fontId="16" fillId="0" borderId="91" xfId="57" applyFont="1" applyFill="1" applyBorder="1">
      <alignment/>
      <protection/>
    </xf>
    <xf numFmtId="9" fontId="6" fillId="0" borderId="92" xfId="62" applyNumberFormat="1" applyFont="1" applyFill="1" applyBorder="1" applyAlignment="1">
      <alignment horizontal="center"/>
    </xf>
    <xf numFmtId="9" fontId="6" fillId="0" borderId="93" xfId="62" applyNumberFormat="1" applyFont="1" applyFill="1" applyBorder="1" applyAlignment="1">
      <alignment horizontal="center"/>
    </xf>
    <xf numFmtId="9" fontId="6" fillId="0" borderId="94" xfId="62" applyNumberFormat="1" applyFont="1" applyFill="1" applyBorder="1" applyAlignment="1">
      <alignment horizontal="center"/>
    </xf>
    <xf numFmtId="9" fontId="6" fillId="0" borderId="95" xfId="62" applyNumberFormat="1" applyFont="1" applyFill="1" applyBorder="1" applyAlignment="1">
      <alignment horizontal="center"/>
    </xf>
    <xf numFmtId="0" fontId="0" fillId="0" borderId="44" xfId="57" applyFill="1" applyBorder="1">
      <alignment/>
      <protection/>
    </xf>
    <xf numFmtId="0" fontId="0" fillId="0" borderId="42" xfId="57" applyFill="1" applyBorder="1">
      <alignment/>
      <protection/>
    </xf>
    <xf numFmtId="0" fontId="7" fillId="0" borderId="0" xfId="57" applyFont="1">
      <alignment/>
      <protection/>
    </xf>
    <xf numFmtId="202" fontId="0" fillId="0" borderId="42" xfId="57" applyNumberFormat="1" applyBorder="1">
      <alignment/>
      <protection/>
    </xf>
    <xf numFmtId="9" fontId="6" fillId="0" borderId="42" xfId="62" applyFont="1" applyBorder="1" applyAlignment="1">
      <alignment horizontal="center"/>
    </xf>
    <xf numFmtId="0" fontId="20" fillId="0" borderId="0" xfId="57" applyFont="1">
      <alignment/>
      <protection/>
    </xf>
    <xf numFmtId="0" fontId="4" fillId="0" borderId="17" xfId="57" applyFont="1" applyBorder="1" applyAlignment="1">
      <alignment horizontal="center"/>
      <protection/>
    </xf>
    <xf numFmtId="202" fontId="0" fillId="0" borderId="18" xfId="57" applyNumberFormat="1" applyBorder="1">
      <alignment/>
      <protection/>
    </xf>
    <xf numFmtId="9" fontId="6" fillId="0" borderId="18" xfId="62" applyFont="1" applyBorder="1" applyAlignment="1">
      <alignment horizontal="center"/>
    </xf>
    <xf numFmtId="0" fontId="4" fillId="0" borderId="57" xfId="57" applyFont="1" applyBorder="1" applyAlignment="1">
      <alignment horizontal="center"/>
      <protection/>
    </xf>
    <xf numFmtId="202" fontId="0" fillId="0" borderId="80" xfId="57" applyNumberFormat="1" applyBorder="1">
      <alignment/>
      <protection/>
    </xf>
    <xf numFmtId="9" fontId="6" fillId="0" borderId="80" xfId="62" applyFont="1" applyBorder="1" applyAlignment="1">
      <alignment horizontal="center"/>
    </xf>
    <xf numFmtId="0" fontId="4" fillId="0" borderId="80" xfId="57" applyFont="1" applyBorder="1">
      <alignment/>
      <protection/>
    </xf>
    <xf numFmtId="0" fontId="0" fillId="0" borderId="57" xfId="57" applyBorder="1">
      <alignment/>
      <protection/>
    </xf>
    <xf numFmtId="9" fontId="6" fillId="0" borderId="96" xfId="62" applyNumberFormat="1" applyFont="1" applyFill="1" applyBorder="1" applyAlignment="1">
      <alignment horizontal="center"/>
    </xf>
    <xf numFmtId="0" fontId="0" fillId="0" borderId="42" xfId="57" applyBorder="1">
      <alignment/>
      <protection/>
    </xf>
    <xf numFmtId="0" fontId="0" fillId="0" borderId="44" xfId="57" applyBorder="1">
      <alignment/>
      <protection/>
    </xf>
    <xf numFmtId="212" fontId="0" fillId="0" borderId="30" xfId="57" applyNumberFormat="1" applyFont="1" applyFill="1" applyBorder="1">
      <alignment/>
      <protection/>
    </xf>
    <xf numFmtId="212" fontId="0" fillId="0" borderId="18" xfId="57" applyNumberFormat="1" applyFill="1" applyBorder="1">
      <alignment/>
      <protection/>
    </xf>
    <xf numFmtId="212" fontId="0" fillId="0" borderId="60" xfId="57" applyNumberFormat="1" applyFill="1" applyBorder="1">
      <alignment/>
      <protection/>
    </xf>
    <xf numFmtId="212" fontId="0" fillId="0" borderId="17" xfId="57" applyNumberFormat="1" applyFill="1" applyBorder="1">
      <alignment/>
      <protection/>
    </xf>
    <xf numFmtId="212" fontId="4" fillId="0" borderId="60" xfId="57" applyNumberFormat="1" applyFont="1" applyFill="1" applyBorder="1">
      <alignment/>
      <protection/>
    </xf>
    <xf numFmtId="211" fontId="0" fillId="28" borderId="29" xfId="57" applyNumberFormat="1" applyFont="1" applyFill="1" applyBorder="1" applyAlignment="1">
      <alignment horizontal="center"/>
      <protection/>
    </xf>
    <xf numFmtId="212" fontId="0" fillId="27" borderId="18" xfId="57" applyNumberFormat="1" applyFill="1" applyBorder="1">
      <alignment/>
      <protection/>
    </xf>
    <xf numFmtId="212" fontId="0" fillId="27" borderId="17" xfId="57" applyNumberFormat="1" applyFill="1" applyBorder="1">
      <alignment/>
      <protection/>
    </xf>
    <xf numFmtId="212" fontId="0" fillId="27" borderId="60" xfId="57" applyNumberFormat="1" applyFill="1" applyBorder="1">
      <alignment/>
      <protection/>
    </xf>
    <xf numFmtId="212" fontId="0" fillId="7" borderId="30" xfId="57" applyNumberFormat="1" applyFont="1" applyFill="1" applyBorder="1">
      <alignment/>
      <protection/>
    </xf>
    <xf numFmtId="212" fontId="0" fillId="7" borderId="18" xfId="57" applyNumberFormat="1" applyFill="1" applyBorder="1">
      <alignment/>
      <protection/>
    </xf>
    <xf numFmtId="212" fontId="0" fillId="7" borderId="60" xfId="57" applyNumberFormat="1" applyFill="1" applyBorder="1">
      <alignment/>
      <protection/>
    </xf>
    <xf numFmtId="212" fontId="0" fillId="7" borderId="17" xfId="57" applyNumberFormat="1" applyFill="1" applyBorder="1">
      <alignment/>
      <protection/>
    </xf>
    <xf numFmtId="212" fontId="4" fillId="7" borderId="60" xfId="57" applyNumberFormat="1" applyFont="1" applyFill="1" applyBorder="1">
      <alignment/>
      <protection/>
    </xf>
    <xf numFmtId="212" fontId="0" fillId="27" borderId="30" xfId="57" applyNumberFormat="1" applyFont="1" applyFill="1" applyBorder="1">
      <alignment/>
      <protection/>
    </xf>
    <xf numFmtId="212" fontId="4" fillId="27" borderId="60" xfId="57" applyNumberFormat="1" applyFont="1" applyFill="1" applyBorder="1">
      <alignment/>
      <protection/>
    </xf>
    <xf numFmtId="212" fontId="0" fillId="27" borderId="0" xfId="57" applyNumberFormat="1" applyFill="1" applyBorder="1">
      <alignment/>
      <protection/>
    </xf>
    <xf numFmtId="212" fontId="0" fillId="27" borderId="18" xfId="57" applyNumberFormat="1" applyFill="1" applyBorder="1" applyAlignment="1">
      <alignment horizontal="right"/>
      <protection/>
    </xf>
    <xf numFmtId="212" fontId="0" fillId="7" borderId="0" xfId="57" applyNumberFormat="1" applyFill="1" applyBorder="1">
      <alignment/>
      <protection/>
    </xf>
    <xf numFmtId="212" fontId="0" fillId="7" borderId="18" xfId="57" applyNumberFormat="1" applyFill="1" applyBorder="1" applyAlignment="1">
      <alignment horizontal="right"/>
      <protection/>
    </xf>
    <xf numFmtId="212" fontId="0" fillId="7" borderId="18" xfId="57" applyNumberFormat="1" applyFill="1" applyBorder="1" applyAlignment="1" quotePrefix="1">
      <alignment horizontal="center"/>
      <protection/>
    </xf>
    <xf numFmtId="0" fontId="10" fillId="0" borderId="0" xfId="57" applyFont="1" applyAlignment="1">
      <alignment horizontal="left"/>
      <protection/>
    </xf>
    <xf numFmtId="211" fontId="0" fillId="27" borderId="29" xfId="57" applyNumberFormat="1" applyFill="1" applyBorder="1" applyAlignment="1" applyProtection="1">
      <alignment horizontal="center"/>
      <protection locked="0"/>
    </xf>
    <xf numFmtId="202" fontId="4" fillId="27" borderId="0" xfId="57" applyNumberFormat="1" applyFont="1" applyFill="1" applyBorder="1" applyProtection="1">
      <alignment/>
      <protection locked="0"/>
    </xf>
    <xf numFmtId="202" fontId="0" fillId="27" borderId="17" xfId="57" applyNumberFormat="1" applyFill="1" applyBorder="1" applyProtection="1">
      <alignment/>
      <protection locked="0"/>
    </xf>
    <xf numFmtId="202" fontId="0" fillId="27" borderId="18" xfId="57" applyNumberFormat="1" applyFill="1" applyBorder="1" applyProtection="1">
      <alignment/>
      <protection locked="0"/>
    </xf>
    <xf numFmtId="202" fontId="0" fillId="27" borderId="60" xfId="57" applyNumberFormat="1" applyFill="1" applyBorder="1" applyProtection="1">
      <alignment/>
      <protection locked="0"/>
    </xf>
    <xf numFmtId="201" fontId="0" fillId="27" borderId="60" xfId="57" applyNumberFormat="1" applyFill="1" applyBorder="1" applyAlignment="1" applyProtection="1" quotePrefix="1">
      <alignment horizontal="center"/>
      <protection locked="0"/>
    </xf>
    <xf numFmtId="202" fontId="0" fillId="27" borderId="0" xfId="57" applyNumberFormat="1" applyFill="1" applyBorder="1" applyProtection="1">
      <alignment/>
      <protection locked="0"/>
    </xf>
    <xf numFmtId="0" fontId="4" fillId="0" borderId="18" xfId="57" applyFont="1" applyBorder="1" applyAlignment="1">
      <alignment horizontal="center"/>
      <protection/>
    </xf>
    <xf numFmtId="211" fontId="0" fillId="28" borderId="29" xfId="57" applyNumberFormat="1" applyFill="1" applyBorder="1" applyAlignment="1" applyProtection="1">
      <alignment horizontal="center"/>
      <protection locked="0"/>
    </xf>
    <xf numFmtId="202" fontId="4" fillId="28" borderId="28" xfId="57" applyNumberFormat="1" applyFont="1" applyFill="1" applyBorder="1" applyProtection="1">
      <alignment/>
      <protection locked="0"/>
    </xf>
    <xf numFmtId="202" fontId="0" fillId="28" borderId="17" xfId="57" applyNumberFormat="1" applyFill="1" applyBorder="1" applyProtection="1">
      <alignment/>
      <protection locked="0"/>
    </xf>
    <xf numFmtId="202" fontId="0" fillId="28" borderId="18" xfId="57" applyNumberFormat="1" applyFill="1" applyBorder="1" applyProtection="1">
      <alignment/>
      <protection locked="0"/>
    </xf>
    <xf numFmtId="202" fontId="0" fillId="28" borderId="60" xfId="57" applyNumberFormat="1" applyFill="1" applyBorder="1" applyProtection="1">
      <alignment/>
      <protection locked="0"/>
    </xf>
    <xf numFmtId="201" fontId="0" fillId="28" borderId="60" xfId="57" applyNumberFormat="1" applyFill="1" applyBorder="1" applyProtection="1">
      <alignment/>
      <protection locked="0"/>
    </xf>
    <xf numFmtId="202" fontId="0" fillId="28" borderId="0" xfId="57" applyNumberFormat="1" applyFill="1" applyBorder="1" applyProtection="1">
      <alignment/>
      <protection locked="0"/>
    </xf>
    <xf numFmtId="202" fontId="0" fillId="28" borderId="0" xfId="57" applyNumberFormat="1" applyFill="1" applyBorder="1">
      <alignment/>
      <protection/>
    </xf>
    <xf numFmtId="202" fontId="4" fillId="27" borderId="28" xfId="57" applyNumberFormat="1" applyFont="1" applyFill="1" applyBorder="1" applyProtection="1">
      <alignment/>
      <protection locked="0"/>
    </xf>
    <xf numFmtId="201" fontId="0" fillId="27" borderId="60" xfId="57" applyNumberFormat="1" applyFill="1" applyBorder="1" applyProtection="1">
      <alignment/>
      <protection locked="0"/>
    </xf>
    <xf numFmtId="201" fontId="0" fillId="27" borderId="18" xfId="57" applyNumberFormat="1" applyFill="1" applyBorder="1" applyAlignment="1" quotePrefix="1">
      <alignment horizontal="right"/>
      <protection/>
    </xf>
    <xf numFmtId="202" fontId="4" fillId="28" borderId="0" xfId="57" applyNumberFormat="1" applyFont="1" applyFill="1" applyBorder="1" applyProtection="1">
      <alignment/>
      <protection locked="0"/>
    </xf>
    <xf numFmtId="201" fontId="0" fillId="0" borderId="57" xfId="57" applyNumberFormat="1" applyBorder="1" applyAlignment="1">
      <alignment horizontal="center"/>
      <protection/>
    </xf>
    <xf numFmtId="0" fontId="0" fillId="0" borderId="0" xfId="57" applyBorder="1" applyAlignment="1">
      <alignment horizontal="center"/>
      <protection/>
    </xf>
    <xf numFmtId="201" fontId="0" fillId="0" borderId="0" xfId="57" applyNumberFormat="1" applyBorder="1" applyAlignment="1">
      <alignment horizontal="center"/>
      <protection/>
    </xf>
    <xf numFmtId="198" fontId="6" fillId="0" borderId="0" xfId="62" applyNumberFormat="1" applyFont="1" applyBorder="1" applyAlignment="1">
      <alignment horizontal="center"/>
    </xf>
    <xf numFmtId="201" fontId="0" fillId="27" borderId="18" xfId="57" applyNumberFormat="1" applyFill="1" applyBorder="1" applyProtection="1">
      <alignment/>
      <protection locked="0"/>
    </xf>
    <xf numFmtId="201" fontId="0" fillId="28" borderId="18" xfId="57" applyNumberFormat="1" applyFill="1" applyBorder="1" applyProtection="1">
      <alignment/>
      <protection locked="0"/>
    </xf>
    <xf numFmtId="211" fontId="0" fillId="27" borderId="29" xfId="57" applyNumberFormat="1" applyFont="1" applyFill="1" applyBorder="1" applyAlignment="1">
      <alignment horizontal="center"/>
      <protection/>
    </xf>
    <xf numFmtId="211" fontId="0" fillId="0" borderId="29" xfId="57" applyNumberFormat="1" applyFont="1" applyFill="1" applyBorder="1" applyAlignment="1">
      <alignment horizontal="center"/>
      <protection/>
    </xf>
    <xf numFmtId="202" fontId="4" fillId="0" borderId="0" xfId="57" applyNumberFormat="1" applyFont="1" applyFill="1" applyBorder="1" applyProtection="1">
      <alignment/>
      <protection locked="0"/>
    </xf>
    <xf numFmtId="202" fontId="0" fillId="0" borderId="17" xfId="57" applyNumberFormat="1" applyFill="1" applyBorder="1" applyProtection="1">
      <alignment/>
      <protection locked="0"/>
    </xf>
    <xf numFmtId="201" fontId="0" fillId="0" borderId="18" xfId="57" applyNumberFormat="1" applyFill="1" applyBorder="1" applyProtection="1">
      <alignment/>
      <protection locked="0"/>
    </xf>
    <xf numFmtId="202" fontId="0" fillId="0" borderId="60" xfId="57" applyNumberFormat="1" applyFill="1" applyBorder="1" applyProtection="1">
      <alignment/>
      <protection locked="0"/>
    </xf>
    <xf numFmtId="202" fontId="0" fillId="0" borderId="0" xfId="57" applyNumberFormat="1" applyFill="1" applyBorder="1">
      <alignment/>
      <protection/>
    </xf>
    <xf numFmtId="0" fontId="0" fillId="0" borderId="0" xfId="57" applyFill="1" applyBorder="1" applyAlignment="1">
      <alignment horizontal="center"/>
      <protection/>
    </xf>
    <xf numFmtId="201" fontId="0" fillId="0" borderId="0" xfId="57" applyNumberFormat="1" applyFill="1" applyBorder="1" applyAlignment="1">
      <alignment horizontal="center"/>
      <protection/>
    </xf>
    <xf numFmtId="198" fontId="6" fillId="0" borderId="0" xfId="62" applyNumberFormat="1" applyFont="1" applyFill="1" applyBorder="1" applyAlignment="1">
      <alignment horizontal="center"/>
    </xf>
    <xf numFmtId="0" fontId="0" fillId="17" borderId="0" xfId="57" applyFill="1">
      <alignment/>
      <protection/>
    </xf>
    <xf numFmtId="0" fontId="0" fillId="17" borderId="0" xfId="57" applyFill="1" applyBorder="1" applyAlignment="1">
      <alignment horizontal="center"/>
      <protection/>
    </xf>
    <xf numFmtId="201" fontId="0" fillId="17" borderId="0" xfId="57" applyNumberFormat="1" applyFill="1" applyBorder="1" applyAlignment="1">
      <alignment horizontal="center"/>
      <protection/>
    </xf>
    <xf numFmtId="198" fontId="6" fillId="17" borderId="0" xfId="62" applyNumberFormat="1" applyFont="1" applyFill="1" applyBorder="1" applyAlignment="1">
      <alignment horizontal="center"/>
    </xf>
    <xf numFmtId="0" fontId="16" fillId="28" borderId="81" xfId="57" applyFont="1" applyFill="1" applyBorder="1">
      <alignment/>
      <protection/>
    </xf>
    <xf numFmtId="9" fontId="6" fillId="28" borderId="82" xfId="62" applyNumberFormat="1" applyFont="1" applyFill="1" applyBorder="1" applyAlignment="1">
      <alignment horizontal="center"/>
    </xf>
    <xf numFmtId="198" fontId="6" fillId="28" borderId="84" xfId="62" applyNumberFormat="1" applyFont="1" applyFill="1" applyBorder="1" applyAlignment="1">
      <alignment horizontal="center"/>
    </xf>
    <xf numFmtId="9" fontId="6" fillId="28" borderId="83" xfId="62" applyNumberFormat="1" applyFont="1" applyFill="1" applyBorder="1" applyAlignment="1">
      <alignment horizontal="center"/>
    </xf>
    <xf numFmtId="9" fontId="6" fillId="27" borderId="33" xfId="62" applyNumberFormat="1" applyFont="1" applyFill="1" applyBorder="1" applyAlignment="1">
      <alignment horizontal="center"/>
    </xf>
    <xf numFmtId="9" fontId="0" fillId="27" borderId="33" xfId="57" applyNumberFormat="1" applyFill="1" applyBorder="1">
      <alignment/>
      <protection/>
    </xf>
    <xf numFmtId="9" fontId="6" fillId="28" borderId="84" xfId="62" applyNumberFormat="1" applyFont="1" applyFill="1" applyBorder="1" applyAlignment="1">
      <alignment horizontal="center"/>
    </xf>
    <xf numFmtId="201" fontId="0" fillId="0" borderId="0" xfId="57" applyNumberFormat="1">
      <alignment/>
      <protection/>
    </xf>
    <xf numFmtId="0" fontId="16" fillId="27" borderId="86" xfId="57" applyFont="1" applyFill="1" applyBorder="1">
      <alignment/>
      <protection/>
    </xf>
    <xf numFmtId="9" fontId="6" fillId="27" borderId="87" xfId="62" applyNumberFormat="1" applyFont="1" applyFill="1" applyBorder="1" applyAlignment="1">
      <alignment horizontal="center"/>
    </xf>
    <xf numFmtId="9" fontId="6" fillId="27" borderId="88" xfId="62" applyNumberFormat="1" applyFont="1" applyFill="1" applyBorder="1" applyAlignment="1">
      <alignment horizontal="center"/>
    </xf>
    <xf numFmtId="9" fontId="6" fillId="27" borderId="89" xfId="62" applyNumberFormat="1" applyFont="1" applyFill="1" applyBorder="1" applyAlignment="1">
      <alignment horizontal="center"/>
    </xf>
    <xf numFmtId="9" fontId="6" fillId="27" borderId="0" xfId="62" applyNumberFormat="1" applyFont="1" applyFill="1" applyBorder="1" applyAlignment="1">
      <alignment horizontal="center"/>
    </xf>
    <xf numFmtId="9" fontId="0" fillId="27" borderId="0" xfId="57" applyNumberFormat="1" applyFill="1" applyBorder="1">
      <alignment/>
      <protection/>
    </xf>
    <xf numFmtId="9" fontId="0" fillId="27" borderId="0" xfId="57" applyNumberFormat="1" applyFill="1">
      <alignment/>
      <protection/>
    </xf>
    <xf numFmtId="0" fontId="16" fillId="28" borderId="86" xfId="57" applyFont="1" applyFill="1" applyBorder="1">
      <alignment/>
      <protection/>
    </xf>
    <xf numFmtId="9" fontId="6" fillId="28" borderId="87" xfId="62" applyNumberFormat="1" applyFont="1" applyFill="1" applyBorder="1" applyAlignment="1">
      <alignment horizontal="center"/>
    </xf>
    <xf numFmtId="9" fontId="6" fillId="28" borderId="88" xfId="62" applyNumberFormat="1" applyFont="1" applyFill="1" applyBorder="1" applyAlignment="1">
      <alignment horizontal="center"/>
    </xf>
    <xf numFmtId="9" fontId="6" fillId="28" borderId="89" xfId="62" applyNumberFormat="1" applyFont="1" applyFill="1" applyBorder="1" applyAlignment="1">
      <alignment horizontal="center"/>
    </xf>
    <xf numFmtId="0" fontId="16" fillId="27" borderId="91" xfId="57" applyFont="1" applyFill="1" applyBorder="1">
      <alignment/>
      <protection/>
    </xf>
    <xf numFmtId="9" fontId="6" fillId="27" borderId="96" xfId="62" applyNumberFormat="1" applyFont="1" applyFill="1" applyBorder="1" applyAlignment="1">
      <alignment horizontal="center"/>
    </xf>
    <xf numFmtId="9" fontId="6" fillId="27" borderId="93" xfId="62" applyNumberFormat="1" applyFont="1" applyFill="1" applyBorder="1" applyAlignment="1">
      <alignment horizontal="center"/>
    </xf>
    <xf numFmtId="9" fontId="6" fillId="27" borderId="95" xfId="62" applyNumberFormat="1" applyFont="1" applyFill="1" applyBorder="1" applyAlignment="1">
      <alignment horizontal="center"/>
    </xf>
    <xf numFmtId="198" fontId="0" fillId="0" borderId="0" xfId="62" applyNumberFormat="1" applyAlignment="1">
      <alignment/>
    </xf>
    <xf numFmtId="0" fontId="0" fillId="0" borderId="29" xfId="0" applyFont="1" applyFill="1" applyBorder="1" applyAlignment="1">
      <alignment horizontal="center"/>
    </xf>
    <xf numFmtId="0" fontId="16" fillId="0" borderId="97" xfId="0" applyFont="1" applyFill="1" applyBorder="1" applyAlignment="1">
      <alignment/>
    </xf>
    <xf numFmtId="9" fontId="6" fillId="0" borderId="98" xfId="65" applyFont="1" applyFill="1" applyBorder="1" applyAlignment="1">
      <alignment horizontal="center"/>
    </xf>
    <xf numFmtId="0" fontId="0" fillId="27" borderId="40" xfId="57" applyFont="1" applyFill="1" applyBorder="1" applyAlignment="1">
      <alignment horizontal="center"/>
      <protection/>
    </xf>
    <xf numFmtId="202" fontId="4" fillId="27" borderId="41" xfId="57" applyNumberFormat="1" applyFont="1" applyFill="1" applyBorder="1">
      <alignment/>
      <protection/>
    </xf>
    <xf numFmtId="202" fontId="0" fillId="27" borderId="42" xfId="57" applyNumberFormat="1" applyFont="1" applyFill="1" applyBorder="1">
      <alignment/>
      <protection/>
    </xf>
    <xf numFmtId="202" fontId="0" fillId="27" borderId="45" xfId="57" applyNumberFormat="1" applyFont="1" applyFill="1" applyBorder="1">
      <alignment/>
      <protection/>
    </xf>
    <xf numFmtId="202" fontId="0" fillId="27" borderId="41" xfId="57" applyNumberFormat="1" applyFont="1" applyFill="1" applyBorder="1">
      <alignment/>
      <protection/>
    </xf>
    <xf numFmtId="202" fontId="0" fillId="27" borderId="90" xfId="57" applyNumberFormat="1" applyFont="1" applyFill="1" applyBorder="1">
      <alignment/>
      <protection/>
    </xf>
    <xf numFmtId="202" fontId="0" fillId="27" borderId="44" xfId="57" applyNumberFormat="1" applyFont="1" applyFill="1" applyBorder="1">
      <alignment/>
      <protection/>
    </xf>
    <xf numFmtId="0" fontId="0" fillId="7" borderId="29" xfId="57" applyFont="1" applyFill="1" applyBorder="1" applyAlignment="1">
      <alignment horizontal="center"/>
      <protection/>
    </xf>
    <xf numFmtId="202" fontId="4" fillId="7" borderId="28" xfId="57" applyNumberFormat="1" applyFont="1" applyFill="1" applyBorder="1">
      <alignment/>
      <protection/>
    </xf>
    <xf numFmtId="202" fontId="0" fillId="7" borderId="18" xfId="57" applyNumberFormat="1" applyFont="1" applyFill="1" applyBorder="1">
      <alignment/>
      <protection/>
    </xf>
    <xf numFmtId="202" fontId="0" fillId="7" borderId="31" xfId="57" applyNumberFormat="1" applyFont="1" applyFill="1" applyBorder="1">
      <alignment/>
      <protection/>
    </xf>
    <xf numFmtId="202" fontId="0" fillId="7" borderId="28" xfId="57" applyNumberFormat="1" applyFont="1" applyFill="1" applyBorder="1">
      <alignment/>
      <protection/>
    </xf>
    <xf numFmtId="202" fontId="0" fillId="7" borderId="60" xfId="57" applyNumberFormat="1" applyFont="1" applyFill="1" applyBorder="1">
      <alignment/>
      <protection/>
    </xf>
    <xf numFmtId="202" fontId="0" fillId="7" borderId="17" xfId="57" applyNumberFormat="1" applyFont="1" applyFill="1" applyBorder="1">
      <alignment/>
      <protection/>
    </xf>
    <xf numFmtId="0" fontId="0" fillId="0" borderId="0" xfId="57" applyBorder="1">
      <alignment/>
      <protection/>
    </xf>
    <xf numFmtId="0" fontId="0" fillId="27" borderId="29" xfId="57" applyFont="1" applyFill="1" applyBorder="1" applyAlignment="1">
      <alignment horizontal="center"/>
      <protection/>
    </xf>
    <xf numFmtId="202" fontId="4" fillId="27" borderId="28" xfId="57" applyNumberFormat="1" applyFont="1" applyFill="1" applyBorder="1">
      <alignment/>
      <protection/>
    </xf>
    <xf numFmtId="202" fontId="0" fillId="27" borderId="18" xfId="57" applyNumberFormat="1" applyFont="1" applyFill="1" applyBorder="1">
      <alignment/>
      <protection/>
    </xf>
    <xf numFmtId="202" fontId="0" fillId="27" borderId="31" xfId="57" applyNumberFormat="1" applyFont="1" applyFill="1" applyBorder="1">
      <alignment/>
      <protection/>
    </xf>
    <xf numFmtId="202" fontId="0" fillId="27" borderId="28" xfId="57" applyNumberFormat="1" applyFont="1" applyFill="1" applyBorder="1">
      <alignment/>
      <protection/>
    </xf>
    <xf numFmtId="202" fontId="0" fillId="27" borderId="60" xfId="57" applyNumberFormat="1" applyFont="1" applyFill="1" applyBorder="1">
      <alignment/>
      <protection/>
    </xf>
    <xf numFmtId="202" fontId="0" fillId="27" borderId="17" xfId="57" applyNumberFormat="1" applyFont="1" applyFill="1" applyBorder="1">
      <alignment/>
      <protection/>
    </xf>
    <xf numFmtId="201" fontId="0" fillId="17" borderId="0" xfId="57" applyNumberFormat="1" applyFill="1">
      <alignment/>
      <protection/>
    </xf>
    <xf numFmtId="201" fontId="0" fillId="27" borderId="18" xfId="57" applyNumberFormat="1" applyFont="1" applyFill="1" applyBorder="1">
      <alignment/>
      <protection/>
    </xf>
    <xf numFmtId="201" fontId="0" fillId="7" borderId="18" xfId="57" applyNumberFormat="1" applyFont="1" applyFill="1" applyBorder="1">
      <alignment/>
      <protection/>
    </xf>
    <xf numFmtId="0" fontId="0" fillId="17" borderId="0" xfId="57" applyFill="1" applyBorder="1">
      <alignment/>
      <protection/>
    </xf>
    <xf numFmtId="202" fontId="0" fillId="7" borderId="0" xfId="57" applyNumberFormat="1" applyFont="1" applyFill="1" applyBorder="1">
      <alignment/>
      <protection/>
    </xf>
    <xf numFmtId="202" fontId="0" fillId="27" borderId="0" xfId="57" applyNumberFormat="1" applyFont="1" applyFill="1" applyBorder="1">
      <alignment/>
      <protection/>
    </xf>
    <xf numFmtId="201" fontId="0" fillId="27" borderId="19" xfId="57" applyNumberFormat="1" applyFont="1" applyFill="1" applyBorder="1">
      <alignment/>
      <protection/>
    </xf>
    <xf numFmtId="9" fontId="7" fillId="7" borderId="99" xfId="62" applyNumberFormat="1" applyFont="1" applyFill="1" applyBorder="1" applyAlignment="1">
      <alignment horizontal="center"/>
    </xf>
    <xf numFmtId="9" fontId="7" fillId="7" borderId="84" xfId="62" applyNumberFormat="1" applyFont="1" applyFill="1" applyBorder="1" applyAlignment="1">
      <alignment horizontal="center"/>
    </xf>
    <xf numFmtId="9" fontId="7" fillId="7" borderId="100" xfId="62" applyNumberFormat="1" applyFont="1" applyFill="1" applyBorder="1" applyAlignment="1">
      <alignment horizontal="center"/>
    </xf>
    <xf numFmtId="9" fontId="7" fillId="7" borderId="101" xfId="62" applyNumberFormat="1" applyFont="1" applyFill="1" applyBorder="1" applyAlignment="1">
      <alignment horizontal="center"/>
    </xf>
    <xf numFmtId="9" fontId="7" fillId="0" borderId="34" xfId="62" applyNumberFormat="1" applyFont="1" applyFill="1" applyBorder="1" applyAlignment="1">
      <alignment horizontal="center"/>
    </xf>
    <xf numFmtId="9" fontId="7" fillId="7" borderId="102" xfId="62" applyNumberFormat="1" applyFont="1" applyFill="1" applyBorder="1" applyAlignment="1">
      <alignment horizontal="center"/>
    </xf>
    <xf numFmtId="202" fontId="0" fillId="0" borderId="0" xfId="57" applyNumberFormat="1">
      <alignment/>
      <protection/>
    </xf>
    <xf numFmtId="0" fontId="16" fillId="27" borderId="103" xfId="57" applyFont="1" applyFill="1" applyBorder="1">
      <alignment/>
      <protection/>
    </xf>
    <xf numFmtId="9" fontId="6" fillId="27" borderId="104" xfId="62" applyNumberFormat="1" applyFont="1" applyFill="1" applyBorder="1" applyAlignment="1">
      <alignment horizontal="center"/>
    </xf>
    <xf numFmtId="9" fontId="6" fillId="27" borderId="105" xfId="62" applyNumberFormat="1" applyFont="1" applyFill="1" applyBorder="1" applyAlignment="1">
      <alignment horizontal="center"/>
    </xf>
    <xf numFmtId="9" fontId="6" fillId="27" borderId="106" xfId="62" applyNumberFormat="1" applyFont="1" applyFill="1" applyBorder="1" applyAlignment="1">
      <alignment horizontal="center"/>
    </xf>
    <xf numFmtId="9" fontId="7" fillId="27" borderId="107" xfId="62" applyNumberFormat="1" applyFont="1" applyFill="1" applyBorder="1" applyAlignment="1">
      <alignment horizontal="center"/>
    </xf>
    <xf numFmtId="9" fontId="7" fillId="27" borderId="105" xfId="62" applyNumberFormat="1" applyFont="1" applyFill="1" applyBorder="1" applyAlignment="1">
      <alignment horizontal="center"/>
    </xf>
    <xf numFmtId="9" fontId="7" fillId="27" borderId="108" xfId="62" applyNumberFormat="1" applyFont="1" applyFill="1" applyBorder="1" applyAlignment="1">
      <alignment horizontal="center"/>
    </xf>
    <xf numFmtId="9" fontId="7" fillId="27" borderId="109" xfId="62" applyNumberFormat="1" applyFont="1" applyFill="1" applyBorder="1" applyAlignment="1">
      <alignment horizontal="center"/>
    </xf>
    <xf numFmtId="9" fontId="7" fillId="0" borderId="29" xfId="62" applyNumberFormat="1" applyFont="1" applyFill="1" applyBorder="1" applyAlignment="1">
      <alignment horizontal="center"/>
    </xf>
    <xf numFmtId="9" fontId="7" fillId="27" borderId="110" xfId="62" applyNumberFormat="1" applyFont="1" applyFill="1" applyBorder="1" applyAlignment="1">
      <alignment horizontal="center"/>
    </xf>
    <xf numFmtId="0" fontId="16" fillId="7" borderId="103" xfId="57" applyFont="1" applyFill="1" applyBorder="1">
      <alignment/>
      <protection/>
    </xf>
    <xf numFmtId="9" fontId="6" fillId="7" borderId="104" xfId="62" applyFont="1" applyFill="1" applyBorder="1" applyAlignment="1">
      <alignment horizontal="center"/>
    </xf>
    <xf numFmtId="9" fontId="6" fillId="7" borderId="105" xfId="62" applyFont="1" applyFill="1" applyBorder="1" applyAlignment="1">
      <alignment horizontal="center"/>
    </xf>
    <xf numFmtId="9" fontId="6" fillId="7" borderId="106" xfId="62" applyFont="1" applyFill="1" applyBorder="1" applyAlignment="1">
      <alignment horizontal="center"/>
    </xf>
    <xf numFmtId="9" fontId="7" fillId="7" borderId="107" xfId="62" applyFont="1" applyFill="1" applyBorder="1" applyAlignment="1">
      <alignment horizontal="center"/>
    </xf>
    <xf numFmtId="9" fontId="7" fillId="7" borderId="105" xfId="62" applyFont="1" applyFill="1" applyBorder="1" applyAlignment="1">
      <alignment horizontal="center"/>
    </xf>
    <xf numFmtId="9" fontId="7" fillId="7" borderId="108" xfId="62" applyFont="1" applyFill="1" applyBorder="1" applyAlignment="1">
      <alignment horizontal="center"/>
    </xf>
    <xf numFmtId="9" fontId="7" fillId="7" borderId="109" xfId="62" applyFont="1" applyFill="1" applyBorder="1" applyAlignment="1">
      <alignment horizontal="center"/>
    </xf>
    <xf numFmtId="9" fontId="7" fillId="0" borderId="29" xfId="62" applyFont="1" applyFill="1" applyBorder="1" applyAlignment="1">
      <alignment horizontal="center"/>
    </xf>
    <xf numFmtId="9" fontId="7" fillId="7" borderId="110" xfId="62" applyFont="1" applyFill="1" applyBorder="1" applyAlignment="1">
      <alignment horizontal="center"/>
    </xf>
    <xf numFmtId="9" fontId="6" fillId="27" borderId="96" xfId="62" applyFont="1" applyFill="1" applyBorder="1" applyAlignment="1">
      <alignment horizontal="center"/>
    </xf>
    <xf numFmtId="9" fontId="6" fillId="27" borderId="93" xfId="62" applyFont="1" applyFill="1" applyBorder="1" applyAlignment="1">
      <alignment horizontal="center"/>
    </xf>
    <xf numFmtId="9" fontId="6" fillId="27" borderId="95" xfId="62" applyFont="1" applyFill="1" applyBorder="1" applyAlignment="1">
      <alignment horizontal="center"/>
    </xf>
    <xf numFmtId="9" fontId="7" fillId="27" borderId="111" xfId="62" applyFont="1" applyFill="1" applyBorder="1" applyAlignment="1">
      <alignment horizontal="center"/>
    </xf>
    <xf numFmtId="9" fontId="7" fillId="27" borderId="93" xfId="62" applyFont="1" applyFill="1" applyBorder="1" applyAlignment="1">
      <alignment horizontal="center"/>
    </xf>
    <xf numFmtId="9" fontId="7" fillId="27" borderId="112" xfId="62" applyFont="1" applyFill="1" applyBorder="1" applyAlignment="1">
      <alignment horizontal="center"/>
    </xf>
    <xf numFmtId="9" fontId="7" fillId="27" borderId="113" xfId="62" applyFont="1" applyFill="1" applyBorder="1" applyAlignment="1">
      <alignment horizontal="center"/>
    </xf>
    <xf numFmtId="9" fontId="7" fillId="27" borderId="94" xfId="62" applyFont="1" applyFill="1" applyBorder="1" applyAlignment="1">
      <alignment horizontal="center"/>
    </xf>
    <xf numFmtId="199" fontId="0" fillId="0" borderId="0" xfId="62" applyNumberFormat="1" applyFont="1" applyAlignment="1">
      <alignment/>
    </xf>
    <xf numFmtId="0" fontId="27" fillId="0" borderId="0" xfId="57" applyFont="1">
      <alignment/>
      <protection/>
    </xf>
    <xf numFmtId="9" fontId="6" fillId="0" borderId="61" xfId="65" applyNumberFormat="1" applyFont="1" applyFill="1" applyBorder="1" applyAlignment="1">
      <alignment horizontal="center"/>
    </xf>
    <xf numFmtId="9" fontId="6" fillId="0" borderId="30" xfId="65" applyNumberFormat="1" applyFont="1" applyFill="1" applyBorder="1" applyAlignment="1">
      <alignment horizontal="center"/>
    </xf>
    <xf numFmtId="202" fontId="0" fillId="0" borderId="0" xfId="0" applyNumberFormat="1" applyFont="1" applyFill="1" applyBorder="1" applyAlignment="1">
      <alignment/>
    </xf>
    <xf numFmtId="202" fontId="0" fillId="0" borderId="28" xfId="0" applyNumberFormat="1" applyFont="1" applyFill="1" applyBorder="1" applyAlignment="1">
      <alignment/>
    </xf>
    <xf numFmtId="202" fontId="0" fillId="0" borderId="26" xfId="0" applyNumberFormat="1" applyFont="1" applyFill="1" applyBorder="1" applyAlignment="1">
      <alignment/>
    </xf>
    <xf numFmtId="202" fontId="0" fillId="0" borderId="17" xfId="0" applyNumberFormat="1" applyFont="1" applyFill="1" applyBorder="1" applyAlignment="1">
      <alignment/>
    </xf>
    <xf numFmtId="202" fontId="0" fillId="0" borderId="31" xfId="0" applyNumberFormat="1" applyFont="1" applyFill="1" applyBorder="1" applyAlignment="1">
      <alignment/>
    </xf>
    <xf numFmtId="0" fontId="0" fillId="7" borderId="29" xfId="0" applyFill="1" applyBorder="1" applyAlignment="1">
      <alignment horizontal="center"/>
    </xf>
    <xf numFmtId="202" fontId="4" fillId="7" borderId="28" xfId="0" applyNumberFormat="1" applyFont="1" applyFill="1" applyBorder="1" applyAlignment="1">
      <alignment horizontal="center"/>
    </xf>
    <xf numFmtId="202" fontId="0" fillId="7" borderId="18" xfId="0" applyNumberFormat="1" applyFill="1" applyBorder="1" applyAlignment="1">
      <alignment horizontal="center"/>
    </xf>
    <xf numFmtId="202" fontId="0" fillId="7" borderId="0" xfId="0" applyNumberFormat="1" applyFill="1" applyBorder="1" applyAlignment="1">
      <alignment horizontal="center"/>
    </xf>
    <xf numFmtId="202" fontId="0" fillId="7" borderId="28" xfId="0" applyNumberFormat="1" applyFill="1" applyBorder="1" applyAlignment="1">
      <alignment horizontal="center"/>
    </xf>
    <xf numFmtId="202" fontId="0" fillId="7" borderId="26" xfId="0" applyNumberFormat="1" applyFill="1" applyBorder="1" applyAlignment="1">
      <alignment horizontal="center"/>
    </xf>
    <xf numFmtId="202" fontId="0" fillId="7" borderId="17" xfId="0" applyNumberFormat="1" applyFill="1" applyBorder="1" applyAlignment="1">
      <alignment horizontal="center"/>
    </xf>
    <xf numFmtId="202" fontId="0" fillId="7" borderId="31" xfId="0" applyNumberFormat="1" applyFill="1" applyBorder="1" applyAlignment="1">
      <alignment horizontal="center"/>
    </xf>
    <xf numFmtId="0" fontId="0" fillId="27" borderId="29" xfId="0" applyFill="1" applyBorder="1" applyAlignment="1">
      <alignment horizontal="center"/>
    </xf>
    <xf numFmtId="202" fontId="4" fillId="27" borderId="28" xfId="0" applyNumberFormat="1" applyFont="1" applyFill="1" applyBorder="1" applyAlignment="1">
      <alignment horizontal="center"/>
    </xf>
    <xf numFmtId="202" fontId="0" fillId="27" borderId="18" xfId="0" applyNumberFormat="1" applyFill="1" applyBorder="1" applyAlignment="1">
      <alignment horizontal="center"/>
    </xf>
    <xf numFmtId="202" fontId="0" fillId="27" borderId="0" xfId="0" applyNumberFormat="1" applyFill="1" applyBorder="1" applyAlignment="1">
      <alignment horizontal="center"/>
    </xf>
    <xf numFmtId="202" fontId="0" fillId="27" borderId="28" xfId="0" applyNumberFormat="1" applyFill="1" applyBorder="1" applyAlignment="1">
      <alignment horizontal="center"/>
    </xf>
    <xf numFmtId="202" fontId="0" fillId="27" borderId="26" xfId="0" applyNumberFormat="1" applyFill="1" applyBorder="1" applyAlignment="1">
      <alignment horizontal="center"/>
    </xf>
    <xf numFmtId="202" fontId="0" fillId="27" borderId="17" xfId="0" applyNumberFormat="1" applyFill="1" applyBorder="1" applyAlignment="1">
      <alignment horizontal="center"/>
    </xf>
    <xf numFmtId="202" fontId="0" fillId="27" borderId="31" xfId="0" applyNumberFormat="1" applyFill="1" applyBorder="1" applyAlignment="1">
      <alignment horizontal="center"/>
    </xf>
    <xf numFmtId="201" fontId="0" fillId="27" borderId="18" xfId="0" applyNumberFormat="1" applyFill="1" applyBorder="1" applyAlignment="1">
      <alignment horizontal="center"/>
    </xf>
    <xf numFmtId="201" fontId="0" fillId="7" borderId="18" xfId="0" applyNumberFormat="1" applyFill="1" applyBorder="1" applyAlignment="1">
      <alignment horizontal="center"/>
    </xf>
    <xf numFmtId="4" fontId="0" fillId="0" borderId="0" xfId="0" applyNumberFormat="1" applyAlignment="1">
      <alignment/>
    </xf>
    <xf numFmtId="197" fontId="0" fillId="0" borderId="10" xfId="0" applyNumberFormat="1" applyBorder="1" applyAlignment="1">
      <alignment/>
    </xf>
    <xf numFmtId="0" fontId="0" fillId="27" borderId="37" xfId="0" applyFill="1" applyBorder="1" applyAlignment="1">
      <alignment horizontal="center"/>
    </xf>
    <xf numFmtId="202" fontId="4" fillId="27" borderId="62" xfId="0" applyNumberFormat="1" applyFont="1" applyFill="1" applyBorder="1" applyAlignment="1">
      <alignment horizontal="center"/>
    </xf>
    <xf numFmtId="202" fontId="0" fillId="27" borderId="80" xfId="0" applyNumberFormat="1" applyFill="1" applyBorder="1" applyAlignment="1">
      <alignment horizontal="center"/>
    </xf>
    <xf numFmtId="202" fontId="0" fillId="27" borderId="59" xfId="0" applyNumberFormat="1" applyFill="1" applyBorder="1" applyAlignment="1">
      <alignment horizontal="center"/>
    </xf>
    <xf numFmtId="202" fontId="0" fillId="27" borderId="62" xfId="0" applyNumberFormat="1" applyFill="1" applyBorder="1" applyAlignment="1">
      <alignment horizontal="center"/>
    </xf>
    <xf numFmtId="202" fontId="0" fillId="27" borderId="27" xfId="0" applyNumberFormat="1" applyFill="1" applyBorder="1" applyAlignment="1">
      <alignment horizontal="center"/>
    </xf>
    <xf numFmtId="202" fontId="0" fillId="27" borderId="57" xfId="0" applyNumberFormat="1" applyFill="1" applyBorder="1" applyAlignment="1">
      <alignment horizontal="center"/>
    </xf>
    <xf numFmtId="202" fontId="0" fillId="27" borderId="63" xfId="0" applyNumberFormat="1" applyFill="1" applyBorder="1" applyAlignment="1">
      <alignment horizontal="center"/>
    </xf>
    <xf numFmtId="0" fontId="16" fillId="7" borderId="81" xfId="0" applyFont="1" applyFill="1" applyBorder="1" applyAlignment="1">
      <alignment/>
    </xf>
    <xf numFmtId="9" fontId="6" fillId="7" borderId="114" xfId="63" applyNumberFormat="1" applyFont="1" applyFill="1" applyBorder="1" applyAlignment="1">
      <alignment horizontal="center"/>
    </xf>
    <xf numFmtId="9" fontId="6" fillId="7" borderId="84" xfId="63" applyNumberFormat="1" applyFont="1" applyFill="1" applyBorder="1" applyAlignment="1">
      <alignment horizontal="center"/>
    </xf>
    <xf numFmtId="9" fontId="6" fillId="7" borderId="101" xfId="63" applyNumberFormat="1" applyFont="1" applyFill="1" applyBorder="1" applyAlignment="1">
      <alignment horizontal="center"/>
    </xf>
    <xf numFmtId="9" fontId="6" fillId="7" borderId="81" xfId="63" applyNumberFormat="1" applyFont="1" applyFill="1" applyBorder="1" applyAlignment="1">
      <alignment horizontal="center"/>
    </xf>
    <xf numFmtId="9" fontId="6" fillId="7" borderId="100" xfId="63" applyNumberFormat="1" applyFont="1" applyFill="1" applyBorder="1" applyAlignment="1">
      <alignment horizontal="center"/>
    </xf>
    <xf numFmtId="9" fontId="6" fillId="27" borderId="115" xfId="63" applyNumberFormat="1" applyFont="1" applyFill="1" applyBorder="1" applyAlignment="1">
      <alignment horizontal="center"/>
    </xf>
    <xf numFmtId="9" fontId="6" fillId="7" borderId="102" xfId="63" applyNumberFormat="1" applyFont="1" applyFill="1" applyBorder="1" applyAlignment="1">
      <alignment horizontal="center"/>
    </xf>
    <xf numFmtId="0" fontId="16" fillId="27" borderId="103" xfId="0" applyFont="1" applyFill="1" applyBorder="1" applyAlignment="1">
      <alignment/>
    </xf>
    <xf numFmtId="9" fontId="6" fillId="27" borderId="116" xfId="63" applyNumberFormat="1" applyFont="1" applyFill="1" applyBorder="1" applyAlignment="1">
      <alignment horizontal="center"/>
    </xf>
    <xf numFmtId="9" fontId="6" fillId="27" borderId="105" xfId="63" applyNumberFormat="1" applyFont="1" applyFill="1" applyBorder="1" applyAlignment="1">
      <alignment horizontal="center"/>
    </xf>
    <xf numFmtId="9" fontId="6" fillId="27" borderId="109" xfId="63" applyNumberFormat="1" applyFont="1" applyFill="1" applyBorder="1" applyAlignment="1">
      <alignment horizontal="center"/>
    </xf>
    <xf numFmtId="9" fontId="6" fillId="27" borderId="103" xfId="63" applyNumberFormat="1" applyFont="1" applyFill="1" applyBorder="1" applyAlignment="1">
      <alignment horizontal="center"/>
    </xf>
    <xf numFmtId="9" fontId="6" fillId="27" borderId="108" xfId="63" applyNumberFormat="1" applyFont="1" applyFill="1" applyBorder="1" applyAlignment="1">
      <alignment horizontal="center"/>
    </xf>
    <xf numFmtId="9" fontId="6" fillId="27" borderId="18" xfId="63" applyNumberFormat="1" applyFont="1" applyFill="1" applyBorder="1" applyAlignment="1">
      <alignment horizontal="center"/>
    </xf>
    <xf numFmtId="9" fontId="6" fillId="27" borderId="110" xfId="63" applyNumberFormat="1" applyFont="1" applyFill="1" applyBorder="1" applyAlignment="1">
      <alignment horizontal="center"/>
    </xf>
    <xf numFmtId="0" fontId="16" fillId="7" borderId="103" xfId="0" applyFont="1" applyFill="1" applyBorder="1" applyAlignment="1">
      <alignment/>
    </xf>
    <xf numFmtId="9" fontId="6" fillId="7" borderId="116" xfId="63" applyNumberFormat="1" applyFont="1" applyFill="1" applyBorder="1" applyAlignment="1">
      <alignment horizontal="center"/>
    </xf>
    <xf numFmtId="9" fontId="6" fillId="7" borderId="105" xfId="63" applyFont="1" applyFill="1" applyBorder="1" applyAlignment="1">
      <alignment horizontal="center"/>
    </xf>
    <xf numFmtId="9" fontId="6" fillId="7" borderId="109" xfId="63" applyFont="1" applyFill="1" applyBorder="1" applyAlignment="1">
      <alignment horizontal="center"/>
    </xf>
    <xf numFmtId="9" fontId="6" fillId="7" borderId="103" xfId="63" applyNumberFormat="1" applyFont="1" applyFill="1" applyBorder="1" applyAlignment="1">
      <alignment horizontal="center"/>
    </xf>
    <xf numFmtId="9" fontId="6" fillId="7" borderId="108" xfId="63" applyFont="1" applyFill="1" applyBorder="1" applyAlignment="1">
      <alignment horizontal="center"/>
    </xf>
    <xf numFmtId="9" fontId="6" fillId="7" borderId="105" xfId="63" applyNumberFormat="1" applyFont="1" applyFill="1" applyBorder="1" applyAlignment="1">
      <alignment horizontal="center"/>
    </xf>
    <xf numFmtId="9" fontId="6" fillId="27" borderId="18" xfId="63" applyFont="1" applyFill="1" applyBorder="1" applyAlignment="1">
      <alignment horizontal="center"/>
    </xf>
    <xf numFmtId="9" fontId="6" fillId="7" borderId="110" xfId="63" applyFont="1" applyFill="1" applyBorder="1" applyAlignment="1">
      <alignment horizontal="center"/>
    </xf>
    <xf numFmtId="0" fontId="16" fillId="27" borderId="91" xfId="0" applyFont="1" applyFill="1" applyBorder="1" applyAlignment="1">
      <alignment/>
    </xf>
    <xf numFmtId="9" fontId="6" fillId="27" borderId="92" xfId="63" applyFont="1" applyFill="1" applyBorder="1" applyAlignment="1">
      <alignment horizontal="center"/>
    </xf>
    <xf numFmtId="9" fontId="6" fillId="27" borderId="93" xfId="63" applyFont="1" applyFill="1" applyBorder="1" applyAlignment="1">
      <alignment horizontal="center"/>
    </xf>
    <xf numFmtId="9" fontId="6" fillId="27" borderId="113" xfId="63" applyFont="1" applyFill="1" applyBorder="1" applyAlignment="1">
      <alignment horizontal="center"/>
    </xf>
    <xf numFmtId="9" fontId="6" fillId="27" borderId="91" xfId="63" applyFont="1" applyFill="1" applyBorder="1" applyAlignment="1">
      <alignment horizontal="center"/>
    </xf>
    <xf numFmtId="9" fontId="6" fillId="27" borderId="112" xfId="63" applyFont="1" applyFill="1" applyBorder="1" applyAlignment="1">
      <alignment horizontal="center"/>
    </xf>
    <xf numFmtId="9" fontId="6" fillId="27" borderId="113" xfId="63" applyNumberFormat="1" applyFont="1" applyFill="1" applyBorder="1" applyAlignment="1">
      <alignment horizontal="center"/>
    </xf>
    <xf numFmtId="9" fontId="6" fillId="27" borderId="94" xfId="63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99" fontId="0" fillId="0" borderId="0" xfId="63" applyNumberFormat="1" applyFont="1" applyAlignment="1">
      <alignment/>
    </xf>
    <xf numFmtId="213" fontId="0" fillId="0" borderId="0" xfId="0" applyNumberFormat="1" applyAlignment="1">
      <alignment/>
    </xf>
    <xf numFmtId="198" fontId="6" fillId="0" borderId="117" xfId="60" applyNumberFormat="1" applyFont="1" applyFill="1" applyBorder="1" applyAlignment="1">
      <alignment vertical="center"/>
    </xf>
    <xf numFmtId="198" fontId="6" fillId="0" borderId="85" xfId="60" applyNumberFormat="1" applyFont="1" applyFill="1" applyBorder="1" applyAlignment="1">
      <alignment vertical="center"/>
    </xf>
    <xf numFmtId="198" fontId="6" fillId="0" borderId="58" xfId="60" applyNumberFormat="1" applyFont="1" applyFill="1" applyBorder="1" applyAlignment="1">
      <alignment vertical="center"/>
    </xf>
    <xf numFmtId="198" fontId="6" fillId="0" borderId="54" xfId="65" applyNumberFormat="1" applyFont="1" applyFill="1" applyBorder="1" applyAlignment="1">
      <alignment horizontal="center" vertical="center"/>
    </xf>
    <xf numFmtId="198" fontId="6" fillId="0" borderId="65" xfId="65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27" borderId="29" xfId="0" applyFill="1" applyBorder="1" applyAlignment="1">
      <alignment horizontal="center" vertical="center"/>
    </xf>
    <xf numFmtId="202" fontId="0" fillId="27" borderId="28" xfId="0" applyNumberFormat="1" applyFill="1" applyBorder="1" applyAlignment="1">
      <alignment vertical="center"/>
    </xf>
    <xf numFmtId="202" fontId="0" fillId="27" borderId="17" xfId="0" applyNumberFormat="1" applyFill="1" applyBorder="1" applyAlignment="1">
      <alignment vertical="center"/>
    </xf>
    <xf numFmtId="202" fontId="0" fillId="27" borderId="29" xfId="0" applyNumberFormat="1" applyFill="1" applyBorder="1" applyAlignment="1">
      <alignment vertical="center"/>
    </xf>
    <xf numFmtId="0" fontId="0" fillId="28" borderId="29" xfId="0" applyFill="1" applyBorder="1" applyAlignment="1">
      <alignment horizontal="center" vertical="center"/>
    </xf>
    <xf numFmtId="202" fontId="0" fillId="28" borderId="28" xfId="0" applyNumberFormat="1" applyFill="1" applyBorder="1" applyAlignment="1">
      <alignment vertical="center"/>
    </xf>
    <xf numFmtId="202" fontId="0" fillId="28" borderId="17" xfId="0" applyNumberFormat="1" applyFill="1" applyBorder="1" applyAlignment="1">
      <alignment vertical="center"/>
    </xf>
    <xf numFmtId="202" fontId="0" fillId="28" borderId="29" xfId="0" applyNumberFormat="1" applyFill="1" applyBorder="1" applyAlignment="1">
      <alignment vertical="center"/>
    </xf>
    <xf numFmtId="204" fontId="0" fillId="0" borderId="0" xfId="0" applyNumberFormat="1" applyAlignment="1">
      <alignment/>
    </xf>
    <xf numFmtId="0" fontId="0" fillId="28" borderId="29" xfId="0" applyNumberFormat="1" applyFill="1" applyBorder="1" applyAlignment="1">
      <alignment horizontal="center" vertical="center"/>
    </xf>
    <xf numFmtId="0" fontId="0" fillId="27" borderId="29" xfId="0" applyNumberFormat="1" applyFill="1" applyBorder="1" applyAlignment="1">
      <alignment horizontal="center" vertical="center"/>
    </xf>
    <xf numFmtId="214" fontId="0" fillId="0" borderId="0" xfId="52" applyNumberFormat="1" applyFont="1" applyAlignment="1">
      <alignment/>
    </xf>
    <xf numFmtId="214" fontId="0" fillId="0" borderId="0" xfId="52" applyNumberFormat="1" applyFont="1" applyAlignment="1">
      <alignment/>
    </xf>
    <xf numFmtId="215" fontId="0" fillId="0" borderId="0" xfId="0" applyNumberFormat="1" applyAlignment="1">
      <alignment/>
    </xf>
    <xf numFmtId="0" fontId="16" fillId="28" borderId="81" xfId="0" applyFont="1" applyFill="1" applyBorder="1" applyAlignment="1">
      <alignment vertical="center"/>
    </xf>
    <xf numFmtId="9" fontId="6" fillId="28" borderId="114" xfId="63" applyNumberFormat="1" applyFont="1" applyFill="1" applyBorder="1" applyAlignment="1">
      <alignment vertical="center"/>
    </xf>
    <xf numFmtId="9" fontId="6" fillId="28" borderId="101" xfId="63" applyNumberFormat="1" applyFont="1" applyFill="1" applyBorder="1" applyAlignment="1">
      <alignment vertical="center"/>
    </xf>
    <xf numFmtId="9" fontId="6" fillId="28" borderId="81" xfId="63" applyNumberFormat="1" applyFont="1" applyFill="1" applyBorder="1" applyAlignment="1">
      <alignment vertical="center"/>
    </xf>
    <xf numFmtId="0" fontId="16" fillId="27" borderId="103" xfId="0" applyFont="1" applyFill="1" applyBorder="1" applyAlignment="1">
      <alignment vertical="center"/>
    </xf>
    <xf numFmtId="9" fontId="6" fillId="27" borderId="116" xfId="63" applyNumberFormat="1" applyFont="1" applyFill="1" applyBorder="1" applyAlignment="1">
      <alignment vertical="center"/>
    </xf>
    <xf numFmtId="9" fontId="6" fillId="27" borderId="109" xfId="63" applyNumberFormat="1" applyFont="1" applyFill="1" applyBorder="1" applyAlignment="1">
      <alignment vertical="center"/>
    </xf>
    <xf numFmtId="9" fontId="6" fillId="27" borderId="103" xfId="63" applyNumberFormat="1" applyFont="1" applyFill="1" applyBorder="1" applyAlignment="1">
      <alignment vertical="center"/>
    </xf>
    <xf numFmtId="0" fontId="16" fillId="28" borderId="103" xfId="0" applyFont="1" applyFill="1" applyBorder="1" applyAlignment="1">
      <alignment vertical="center"/>
    </xf>
    <xf numFmtId="9" fontId="6" fillId="28" borderId="116" xfId="63" applyNumberFormat="1" applyFont="1" applyFill="1" applyBorder="1" applyAlignment="1">
      <alignment vertical="center"/>
    </xf>
    <xf numFmtId="9" fontId="6" fillId="28" borderId="109" xfId="63" applyNumberFormat="1" applyFont="1" applyFill="1" applyBorder="1" applyAlignment="1">
      <alignment vertical="center"/>
    </xf>
    <xf numFmtId="9" fontId="6" fillId="28" borderId="103" xfId="63" applyNumberFormat="1" applyFont="1" applyFill="1" applyBorder="1" applyAlignment="1">
      <alignment vertical="center"/>
    </xf>
    <xf numFmtId="0" fontId="16" fillId="27" borderId="51" xfId="0" applyFont="1" applyFill="1" applyBorder="1" applyAlignment="1">
      <alignment vertical="center"/>
    </xf>
    <xf numFmtId="9" fontId="6" fillId="27" borderId="97" xfId="63" applyNumberFormat="1" applyFont="1" applyFill="1" applyBorder="1" applyAlignment="1">
      <alignment vertical="center"/>
    </xf>
    <xf numFmtId="9" fontId="6" fillId="27" borderId="66" xfId="63" applyNumberFormat="1" applyFont="1" applyFill="1" applyBorder="1" applyAlignment="1">
      <alignment vertical="center"/>
    </xf>
    <xf numFmtId="9" fontId="6" fillId="27" borderId="51" xfId="63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3" fontId="0" fillId="0" borderId="118" xfId="57" applyNumberFormat="1" applyFont="1" applyFill="1" applyBorder="1" applyAlignment="1">
      <alignment horizontal="center"/>
      <protection/>
    </xf>
    <xf numFmtId="3" fontId="0" fillId="0" borderId="119" xfId="57" applyNumberFormat="1" applyFont="1" applyFill="1" applyBorder="1" applyAlignment="1">
      <alignment horizontal="center"/>
      <protection/>
    </xf>
    <xf numFmtId="0" fontId="0" fillId="0" borderId="28" xfId="57" applyFont="1" applyFill="1" applyBorder="1" applyAlignment="1">
      <alignment horizontal="center"/>
      <protection/>
    </xf>
    <xf numFmtId="3" fontId="0" fillId="0" borderId="119" xfId="57" applyNumberFormat="1" applyFont="1" applyFill="1" applyBorder="1">
      <alignment/>
      <protection/>
    </xf>
    <xf numFmtId="3" fontId="0" fillId="0" borderId="31" xfId="57" applyNumberFormat="1" applyFont="1" applyFill="1" applyBorder="1">
      <alignment/>
      <protection/>
    </xf>
    <xf numFmtId="0" fontId="4" fillId="0" borderId="97" xfId="57" applyFont="1" applyFill="1" applyBorder="1" applyAlignment="1">
      <alignment horizontal="center"/>
      <protection/>
    </xf>
    <xf numFmtId="3" fontId="4" fillId="0" borderId="120" xfId="57" applyNumberFormat="1" applyFont="1" applyFill="1" applyBorder="1" applyAlignment="1">
      <alignment horizontal="center"/>
      <protection/>
    </xf>
    <xf numFmtId="3" fontId="4" fillId="0" borderId="120" xfId="57" applyNumberFormat="1" applyFont="1" applyFill="1" applyBorder="1">
      <alignment/>
      <protection/>
    </xf>
    <xf numFmtId="3" fontId="4" fillId="0" borderId="98" xfId="57" applyNumberFormat="1" applyFont="1" applyFill="1" applyBorder="1">
      <alignment/>
      <protection/>
    </xf>
    <xf numFmtId="3" fontId="0" fillId="0" borderId="121" xfId="57" applyNumberFormat="1" applyFont="1" applyFill="1" applyBorder="1" applyAlignment="1">
      <alignment horizontal="right" vertical="center"/>
      <protection/>
    </xf>
    <xf numFmtId="0" fontId="2" fillId="0" borderId="60" xfId="57" applyFont="1" applyFill="1" applyBorder="1" applyAlignment="1">
      <alignment horizontal="center" vertical="center"/>
      <protection/>
    </xf>
    <xf numFmtId="202" fontId="0" fillId="0" borderId="121" xfId="57" applyNumberFormat="1" applyFont="1" applyFill="1" applyBorder="1" applyAlignment="1">
      <alignment horizontal="right" vertical="center"/>
      <protection/>
    </xf>
    <xf numFmtId="0" fontId="2" fillId="0" borderId="31" xfId="57" applyFont="1" applyFill="1" applyBorder="1" applyAlignment="1">
      <alignment horizontal="center" vertical="center"/>
      <protection/>
    </xf>
    <xf numFmtId="202" fontId="28" fillId="0" borderId="0" xfId="57" applyNumberFormat="1" applyFont="1" applyFill="1" applyBorder="1" applyAlignment="1">
      <alignment horizontal="center"/>
      <protection/>
    </xf>
    <xf numFmtId="0" fontId="29" fillId="0" borderId="0" xfId="57" applyFont="1" applyFill="1" applyBorder="1" applyAlignment="1">
      <alignment horizontal="center"/>
      <protection/>
    </xf>
    <xf numFmtId="202" fontId="29" fillId="0" borderId="0" xfId="57" applyNumberFormat="1" applyFont="1" applyFill="1" applyBorder="1" applyAlignment="1">
      <alignment horizontal="center"/>
      <protection/>
    </xf>
    <xf numFmtId="198" fontId="4" fillId="0" borderId="107" xfId="62" applyNumberFormat="1" applyFont="1" applyFill="1" applyBorder="1" applyAlignment="1">
      <alignment/>
    </xf>
    <xf numFmtId="198" fontId="4" fillId="0" borderId="111" xfId="62" applyNumberFormat="1" applyFont="1" applyFill="1" applyBorder="1" applyAlignment="1">
      <alignment/>
    </xf>
    <xf numFmtId="198" fontId="4" fillId="0" borderId="122" xfId="62" applyNumberFormat="1" applyFont="1" applyFill="1" applyBorder="1" applyAlignment="1">
      <alignment/>
    </xf>
    <xf numFmtId="0" fontId="0" fillId="0" borderId="123" xfId="57" applyFont="1" applyFill="1" applyBorder="1">
      <alignment/>
      <protection/>
    </xf>
    <xf numFmtId="0" fontId="0" fillId="0" borderId="0" xfId="57" quotePrefix="1">
      <alignment/>
      <protection/>
    </xf>
    <xf numFmtId="198" fontId="6" fillId="7" borderId="88" xfId="62" applyNumberFormat="1" applyFont="1" applyFill="1" applyBorder="1" applyAlignment="1">
      <alignment horizontal="center"/>
    </xf>
    <xf numFmtId="10" fontId="6" fillId="7" borderId="87" xfId="62" applyNumberFormat="1" applyFont="1" applyFill="1" applyBorder="1" applyAlignment="1">
      <alignment horizontal="center"/>
    </xf>
    <xf numFmtId="198" fontId="6" fillId="7" borderId="89" xfId="62" applyNumberFormat="1" applyFont="1" applyFill="1" applyBorder="1" applyAlignment="1">
      <alignment horizontal="center"/>
    </xf>
    <xf numFmtId="202" fontId="0" fillId="7" borderId="31" xfId="57" applyNumberFormat="1" applyFill="1" applyBorder="1">
      <alignment/>
      <protection/>
    </xf>
    <xf numFmtId="0" fontId="0" fillId="0" borderId="9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98" fontId="6" fillId="0" borderId="124" xfId="60" applyNumberFormat="1" applyFont="1" applyFill="1" applyBorder="1" applyAlignment="1">
      <alignment horizontal="center" vertical="center"/>
    </xf>
    <xf numFmtId="3" fontId="0" fillId="0" borderId="71" xfId="0" applyNumberFormat="1" applyFill="1" applyBorder="1" applyAlignment="1">
      <alignment vertical="center"/>
    </xf>
    <xf numFmtId="0" fontId="0" fillId="0" borderId="73" xfId="0" applyFill="1" applyBorder="1" applyAlignment="1">
      <alignment vertical="center"/>
    </xf>
    <xf numFmtId="198" fontId="6" fillId="27" borderId="96" xfId="62" applyNumberFormat="1" applyFont="1" applyFill="1" applyBorder="1" applyAlignment="1">
      <alignment horizontal="center"/>
    </xf>
    <xf numFmtId="198" fontId="6" fillId="27" borderId="93" xfId="62" applyNumberFormat="1" applyFont="1" applyFill="1" applyBorder="1" applyAlignment="1">
      <alignment horizontal="center"/>
    </xf>
    <xf numFmtId="198" fontId="6" fillId="27" borderId="95" xfId="62" applyNumberFormat="1" applyFont="1" applyFill="1" applyBorder="1" applyAlignment="1">
      <alignment horizontal="center"/>
    </xf>
    <xf numFmtId="198" fontId="6" fillId="28" borderId="82" xfId="62" applyNumberFormat="1" applyFont="1" applyFill="1" applyBorder="1" applyAlignment="1">
      <alignment horizontal="center"/>
    </xf>
    <xf numFmtId="198" fontId="6" fillId="0" borderId="125" xfId="60" applyNumberFormat="1" applyFont="1" applyFill="1" applyBorder="1" applyAlignment="1">
      <alignment vertical="center"/>
    </xf>
    <xf numFmtId="198" fontId="6" fillId="0" borderId="126" xfId="60" applyNumberFormat="1" applyFont="1" applyFill="1" applyBorder="1" applyAlignment="1">
      <alignment vertical="center"/>
    </xf>
    <xf numFmtId="198" fontId="6" fillId="0" borderId="23" xfId="60" applyNumberFormat="1" applyFont="1" applyFill="1" applyBorder="1" applyAlignment="1">
      <alignment vertical="center"/>
    </xf>
    <xf numFmtId="198" fontId="6" fillId="0" borderId="65" xfId="60" applyNumberFormat="1" applyFont="1" applyFill="1" applyBorder="1" applyAlignment="1">
      <alignment horizontal="center" vertical="center"/>
    </xf>
    <xf numFmtId="0" fontId="0" fillId="29" borderId="0" xfId="56" applyFont="1" applyFill="1">
      <alignment/>
      <protection/>
    </xf>
    <xf numFmtId="0" fontId="4" fillId="29" borderId="0" xfId="56" applyFont="1" applyFill="1" applyBorder="1" applyAlignment="1">
      <alignment/>
      <protection/>
    </xf>
    <xf numFmtId="0" fontId="31" fillId="29" borderId="0" xfId="56" applyFont="1" applyFill="1">
      <alignment/>
      <protection/>
    </xf>
    <xf numFmtId="0" fontId="4" fillId="29" borderId="0" xfId="56" applyFont="1" applyFill="1" applyBorder="1" applyAlignment="1">
      <alignment horizontal="left"/>
      <protection/>
    </xf>
    <xf numFmtId="0" fontId="4" fillId="29" borderId="0" xfId="56" applyFont="1" applyFill="1">
      <alignment/>
      <protection/>
    </xf>
    <xf numFmtId="0" fontId="143" fillId="30" borderId="42" xfId="56" applyFont="1" applyFill="1" applyBorder="1" applyAlignment="1">
      <alignment horizontal="center"/>
      <protection/>
    </xf>
    <xf numFmtId="0" fontId="144" fillId="30" borderId="42" xfId="56" applyFont="1" applyFill="1" applyBorder="1">
      <alignment/>
      <protection/>
    </xf>
    <xf numFmtId="0" fontId="4" fillId="29" borderId="0" xfId="56" applyFont="1" applyFill="1" applyBorder="1" applyAlignment="1">
      <alignment horizontal="center"/>
      <protection/>
    </xf>
    <xf numFmtId="0" fontId="143" fillId="30" borderId="18" xfId="56" applyFont="1" applyFill="1" applyBorder="1" applyAlignment="1">
      <alignment horizontal="center"/>
      <protection/>
    </xf>
    <xf numFmtId="0" fontId="144" fillId="30" borderId="18" xfId="56" applyFont="1" applyFill="1" applyBorder="1">
      <alignment/>
      <protection/>
    </xf>
    <xf numFmtId="17" fontId="0" fillId="29" borderId="10" xfId="56" applyNumberFormat="1" applyFont="1" applyFill="1" applyBorder="1" applyAlignment="1">
      <alignment horizontal="left"/>
      <protection/>
    </xf>
    <xf numFmtId="205" fontId="0" fillId="29" borderId="10" xfId="56" applyNumberFormat="1" applyFont="1" applyFill="1" applyBorder="1">
      <alignment/>
      <protection/>
    </xf>
    <xf numFmtId="204" fontId="0" fillId="29" borderId="10" xfId="56" applyNumberFormat="1" applyFont="1" applyFill="1" applyBorder="1">
      <alignment/>
      <protection/>
    </xf>
    <xf numFmtId="0" fontId="0" fillId="29" borderId="10" xfId="56" applyFont="1" applyFill="1" applyBorder="1">
      <alignment/>
      <protection/>
    </xf>
    <xf numFmtId="217" fontId="0" fillId="29" borderId="10" xfId="56" applyNumberFormat="1" applyFont="1" applyFill="1" applyBorder="1">
      <alignment/>
      <protection/>
    </xf>
    <xf numFmtId="206" fontId="0" fillId="29" borderId="10" xfId="56" applyNumberFormat="1" applyFont="1" applyFill="1" applyBorder="1">
      <alignment/>
      <protection/>
    </xf>
    <xf numFmtId="206" fontId="8" fillId="29" borderId="0" xfId="56" applyNumberFormat="1" applyFont="1" applyFill="1" applyBorder="1">
      <alignment/>
      <protection/>
    </xf>
    <xf numFmtId="205" fontId="8" fillId="29" borderId="0" xfId="56" applyNumberFormat="1" applyFont="1" applyFill="1" applyBorder="1">
      <alignment/>
      <protection/>
    </xf>
    <xf numFmtId="205" fontId="0" fillId="29" borderId="0" xfId="56" applyNumberFormat="1" applyFill="1">
      <alignment/>
      <protection/>
    </xf>
    <xf numFmtId="2" fontId="0" fillId="29" borderId="0" xfId="56" applyNumberFormat="1" applyFont="1" applyFill="1">
      <alignment/>
      <protection/>
    </xf>
    <xf numFmtId="204" fontId="0" fillId="29" borderId="0" xfId="56" applyNumberFormat="1" applyFont="1" applyFill="1">
      <alignment/>
      <protection/>
    </xf>
    <xf numFmtId="0" fontId="6" fillId="29" borderId="42" xfId="56" applyFont="1" applyFill="1" applyBorder="1" applyAlignment="1">
      <alignment horizontal="center"/>
      <protection/>
    </xf>
    <xf numFmtId="0" fontId="6" fillId="29" borderId="80" xfId="56" applyFont="1" applyFill="1" applyBorder="1" applyAlignment="1">
      <alignment horizontal="center"/>
      <protection/>
    </xf>
    <xf numFmtId="0" fontId="6" fillId="29" borderId="36" xfId="56" applyFont="1" applyFill="1" applyBorder="1" applyAlignment="1">
      <alignment horizontal="center"/>
      <protection/>
    </xf>
    <xf numFmtId="0" fontId="6" fillId="29" borderId="10" xfId="56" applyFont="1" applyFill="1" applyBorder="1" applyAlignment="1">
      <alignment horizontal="center"/>
      <protection/>
    </xf>
    <xf numFmtId="9" fontId="0" fillId="29" borderId="0" xfId="62" applyFont="1" applyFill="1" applyAlignment="1">
      <alignment/>
    </xf>
    <xf numFmtId="17" fontId="0" fillId="29" borderId="10" xfId="56" applyNumberFormat="1" applyFill="1" applyBorder="1" applyAlignment="1">
      <alignment horizontal="center"/>
      <protection/>
    </xf>
    <xf numFmtId="4" fontId="0" fillId="29" borderId="10" xfId="56" applyNumberFormat="1" applyFill="1" applyBorder="1" applyAlignment="1">
      <alignment horizontal="center"/>
      <protection/>
    </xf>
    <xf numFmtId="9" fontId="0" fillId="29" borderId="10" xfId="62" applyFont="1" applyFill="1" applyBorder="1" applyAlignment="1">
      <alignment horizontal="center"/>
    </xf>
    <xf numFmtId="9" fontId="0" fillId="29" borderId="10" xfId="62" applyNumberFormat="1" applyFont="1" applyFill="1" applyBorder="1" applyAlignment="1">
      <alignment horizontal="center"/>
    </xf>
    <xf numFmtId="198" fontId="0" fillId="29" borderId="10" xfId="62" applyNumberFormat="1" applyFont="1" applyFill="1" applyBorder="1" applyAlignment="1">
      <alignment horizontal="center"/>
    </xf>
    <xf numFmtId="217" fontId="8" fillId="29" borderId="0" xfId="56" applyNumberFormat="1" applyFont="1" applyFill="1" applyBorder="1">
      <alignment/>
      <protection/>
    </xf>
    <xf numFmtId="217" fontId="0" fillId="29" borderId="0" xfId="56" applyNumberFormat="1" applyFill="1">
      <alignment/>
      <protection/>
    </xf>
    <xf numFmtId="217" fontId="0" fillId="29" borderId="0" xfId="56" applyNumberFormat="1" applyFont="1" applyFill="1">
      <alignment/>
      <protection/>
    </xf>
    <xf numFmtId="17" fontId="0" fillId="29" borderId="53" xfId="56" applyNumberFormat="1" applyFont="1" applyFill="1" applyBorder="1" applyAlignment="1">
      <alignment horizontal="left"/>
      <protection/>
    </xf>
    <xf numFmtId="217" fontId="0" fillId="29" borderId="53" xfId="56" applyNumberFormat="1" applyFont="1" applyFill="1" applyBorder="1">
      <alignment/>
      <protection/>
    </xf>
    <xf numFmtId="217" fontId="8" fillId="29" borderId="0" xfId="56" applyNumberFormat="1" applyFont="1" applyFill="1">
      <alignment/>
      <protection/>
    </xf>
    <xf numFmtId="204" fontId="8" fillId="29" borderId="0" xfId="56" applyNumberFormat="1" applyFont="1" applyFill="1">
      <alignment/>
      <protection/>
    </xf>
    <xf numFmtId="0" fontId="8" fillId="29" borderId="0" xfId="56" applyFont="1" applyFill="1">
      <alignment/>
      <protection/>
    </xf>
    <xf numFmtId="17" fontId="0" fillId="29" borderId="80" xfId="56" applyNumberFormat="1" applyFont="1" applyFill="1" applyBorder="1" applyAlignment="1">
      <alignment horizontal="left"/>
      <protection/>
    </xf>
    <xf numFmtId="217" fontId="0" fillId="29" borderId="80" xfId="56" applyNumberFormat="1" applyFont="1" applyFill="1" applyBorder="1">
      <alignment/>
      <protection/>
    </xf>
    <xf numFmtId="205" fontId="8" fillId="29" borderId="0" xfId="56" applyNumberFormat="1" applyFont="1" applyFill="1">
      <alignment/>
      <protection/>
    </xf>
    <xf numFmtId="0" fontId="0" fillId="29" borderId="0" xfId="56" applyFill="1">
      <alignment/>
      <protection/>
    </xf>
    <xf numFmtId="206" fontId="0" fillId="29" borderId="53" xfId="56" applyNumberFormat="1" applyFont="1" applyFill="1" applyBorder="1">
      <alignment/>
      <protection/>
    </xf>
    <xf numFmtId="205" fontId="0" fillId="29" borderId="53" xfId="56" applyNumberFormat="1" applyFont="1" applyFill="1" applyBorder="1">
      <alignment/>
      <protection/>
    </xf>
    <xf numFmtId="206" fontId="8" fillId="29" borderId="0" xfId="56" applyNumberFormat="1" applyFont="1" applyFill="1">
      <alignment/>
      <protection/>
    </xf>
    <xf numFmtId="205" fontId="0" fillId="29" borderId="80" xfId="56" applyNumberFormat="1" applyFont="1" applyFill="1" applyBorder="1">
      <alignment/>
      <protection/>
    </xf>
    <xf numFmtId="204" fontId="0" fillId="29" borderId="80" xfId="56" applyNumberFormat="1" applyFont="1" applyFill="1" applyBorder="1">
      <alignment/>
      <protection/>
    </xf>
    <xf numFmtId="0" fontId="0" fillId="29" borderId="80" xfId="56" applyFont="1" applyFill="1" applyBorder="1">
      <alignment/>
      <protection/>
    </xf>
    <xf numFmtId="217" fontId="7" fillId="29" borderId="0" xfId="56" applyNumberFormat="1" applyFont="1" applyFill="1">
      <alignment/>
      <protection/>
    </xf>
    <xf numFmtId="205" fontId="0" fillId="29" borderId="0" xfId="56" applyNumberFormat="1" applyFont="1" applyFill="1">
      <alignment/>
      <protection/>
    </xf>
    <xf numFmtId="206" fontId="0" fillId="29" borderId="0" xfId="56" applyNumberFormat="1" applyFont="1" applyFill="1">
      <alignment/>
      <protection/>
    </xf>
    <xf numFmtId="204" fontId="0" fillId="29" borderId="53" xfId="56" applyNumberFormat="1" applyFont="1" applyFill="1" applyBorder="1">
      <alignment/>
      <protection/>
    </xf>
    <xf numFmtId="0" fontId="0" fillId="29" borderId="53" xfId="56" applyFont="1" applyFill="1" applyBorder="1">
      <alignment/>
      <protection/>
    </xf>
    <xf numFmtId="206" fontId="0" fillId="29" borderId="80" xfId="56" applyNumberFormat="1" applyFont="1" applyFill="1" applyBorder="1">
      <alignment/>
      <protection/>
    </xf>
    <xf numFmtId="198" fontId="0" fillId="29" borderId="0" xfId="62" applyNumberFormat="1" applyFont="1" applyFill="1" applyAlignment="1">
      <alignment/>
    </xf>
    <xf numFmtId="17" fontId="0" fillId="29" borderId="0" xfId="56" applyNumberFormat="1" applyFont="1" applyFill="1">
      <alignment/>
      <protection/>
    </xf>
    <xf numFmtId="0" fontId="0" fillId="0" borderId="0" xfId="56">
      <alignment/>
      <protection/>
    </xf>
    <xf numFmtId="0" fontId="1" fillId="0" borderId="0" xfId="56" applyFont="1" applyBorder="1">
      <alignment/>
      <protection/>
    </xf>
    <xf numFmtId="0" fontId="30" fillId="0" borderId="0" xfId="56" applyFont="1">
      <alignment/>
      <protection/>
    </xf>
    <xf numFmtId="0" fontId="32" fillId="29" borderId="127" xfId="56" applyFont="1" applyFill="1" applyBorder="1" applyAlignment="1">
      <alignment horizontal="center"/>
      <protection/>
    </xf>
    <xf numFmtId="0" fontId="32" fillId="29" borderId="52" xfId="56" applyFont="1" applyFill="1" applyBorder="1">
      <alignment/>
      <protection/>
    </xf>
    <xf numFmtId="3" fontId="0" fillId="29" borderId="52" xfId="56" applyNumberFormat="1" applyFont="1" applyFill="1" applyBorder="1">
      <alignment/>
      <protection/>
    </xf>
    <xf numFmtId="3" fontId="32" fillId="29" borderId="52" xfId="56" applyNumberFormat="1" applyFont="1" applyFill="1" applyBorder="1">
      <alignment/>
      <protection/>
    </xf>
    <xf numFmtId="3" fontId="32" fillId="29" borderId="35" xfId="56" applyNumberFormat="1" applyFont="1" applyFill="1" applyBorder="1">
      <alignment/>
      <protection/>
    </xf>
    <xf numFmtId="3" fontId="33" fillId="29" borderId="128" xfId="56" applyNumberFormat="1" applyFont="1" applyFill="1" applyBorder="1">
      <alignment/>
      <protection/>
    </xf>
    <xf numFmtId="3" fontId="4" fillId="29" borderId="0" xfId="56" applyNumberFormat="1" applyFont="1" applyFill="1" applyBorder="1">
      <alignment/>
      <protection/>
    </xf>
    <xf numFmtId="0" fontId="4" fillId="29" borderId="0" xfId="56" applyFont="1" applyFill="1" applyBorder="1">
      <alignment/>
      <protection/>
    </xf>
    <xf numFmtId="0" fontId="32" fillId="29" borderId="129" xfId="56" applyFont="1" applyFill="1" applyBorder="1" applyAlignment="1">
      <alignment horizontal="center"/>
      <protection/>
    </xf>
    <xf numFmtId="0" fontId="32" fillId="29" borderId="10" xfId="56" applyFont="1" applyFill="1" applyBorder="1">
      <alignment/>
      <protection/>
    </xf>
    <xf numFmtId="3" fontId="27" fillId="29" borderId="10" xfId="56" applyNumberFormat="1" applyFont="1" applyFill="1" applyBorder="1">
      <alignment/>
      <protection/>
    </xf>
    <xf numFmtId="3" fontId="34" fillId="29" borderId="10" xfId="56" applyNumberFormat="1" applyFont="1" applyFill="1" applyBorder="1">
      <alignment/>
      <protection/>
    </xf>
    <xf numFmtId="3" fontId="32" fillId="29" borderId="10" xfId="56" applyNumberFormat="1" applyFont="1" applyFill="1" applyBorder="1">
      <alignment/>
      <protection/>
    </xf>
    <xf numFmtId="3" fontId="32" fillId="29" borderId="36" xfId="56" applyNumberFormat="1" applyFont="1" applyFill="1" applyBorder="1">
      <alignment/>
      <protection/>
    </xf>
    <xf numFmtId="3" fontId="33" fillId="29" borderId="54" xfId="56" applyNumberFormat="1" applyFont="1" applyFill="1" applyBorder="1">
      <alignment/>
      <protection/>
    </xf>
    <xf numFmtId="3" fontId="0" fillId="29" borderId="10" xfId="56" applyNumberFormat="1" applyFont="1" applyFill="1" applyBorder="1">
      <alignment/>
      <protection/>
    </xf>
    <xf numFmtId="3" fontId="0" fillId="29" borderId="0" xfId="56" applyNumberFormat="1" applyFill="1" applyBorder="1">
      <alignment/>
      <protection/>
    </xf>
    <xf numFmtId="0" fontId="0" fillId="29" borderId="0" xfId="56" applyFill="1" applyBorder="1">
      <alignment/>
      <protection/>
    </xf>
    <xf numFmtId="0" fontId="145" fillId="29" borderId="0" xfId="56" applyFont="1" applyFill="1" applyBorder="1">
      <alignment/>
      <protection/>
    </xf>
    <xf numFmtId="3" fontId="0" fillId="29" borderId="60" xfId="56" applyNumberFormat="1" applyFill="1" applyBorder="1">
      <alignment/>
      <protection/>
    </xf>
    <xf numFmtId="3" fontId="0" fillId="29" borderId="18" xfId="56" applyNumberFormat="1" applyFill="1" applyBorder="1">
      <alignment/>
      <protection/>
    </xf>
    <xf numFmtId="3" fontId="145" fillId="29" borderId="0" xfId="56" applyNumberFormat="1" applyFont="1" applyFill="1" applyBorder="1">
      <alignment/>
      <protection/>
    </xf>
    <xf numFmtId="3" fontId="32" fillId="29" borderId="44" xfId="56" applyNumberFormat="1" applyFont="1" applyFill="1" applyBorder="1">
      <alignment/>
      <protection/>
    </xf>
    <xf numFmtId="3" fontId="4" fillId="0" borderId="130" xfId="56" applyNumberFormat="1" applyFont="1" applyFill="1" applyBorder="1">
      <alignment/>
      <protection/>
    </xf>
    <xf numFmtId="3" fontId="4" fillId="0" borderId="131" xfId="56" applyNumberFormat="1" applyFont="1" applyFill="1" applyBorder="1">
      <alignment/>
      <protection/>
    </xf>
    <xf numFmtId="3" fontId="36" fillId="0" borderId="131" xfId="56" applyNumberFormat="1" applyFont="1" applyFill="1" applyBorder="1">
      <alignment/>
      <protection/>
    </xf>
    <xf numFmtId="3" fontId="36" fillId="0" borderId="132" xfId="56" applyNumberFormat="1" applyFont="1" applyFill="1" applyBorder="1">
      <alignment/>
      <protection/>
    </xf>
    <xf numFmtId="3" fontId="33" fillId="0" borderId="133" xfId="56" applyNumberFormat="1" applyFont="1" applyFill="1" applyBorder="1">
      <alignment/>
      <protection/>
    </xf>
    <xf numFmtId="3" fontId="4" fillId="0" borderId="0" xfId="56" applyNumberFormat="1" applyFont="1" applyBorder="1">
      <alignment/>
      <protection/>
    </xf>
    <xf numFmtId="3" fontId="0" fillId="0" borderId="0" xfId="56" applyNumberFormat="1" applyBorder="1">
      <alignment/>
      <protection/>
    </xf>
    <xf numFmtId="0" fontId="0" fillId="0" borderId="0" xfId="56" applyBorder="1">
      <alignment/>
      <protection/>
    </xf>
    <xf numFmtId="0" fontId="36" fillId="0" borderId="0" xfId="56" applyFont="1" applyFill="1" applyBorder="1" applyAlignment="1">
      <alignment horizontal="center"/>
      <protection/>
    </xf>
    <xf numFmtId="3" fontId="4" fillId="0" borderId="0" xfId="56" applyNumberFormat="1" applyFont="1" applyFill="1" applyBorder="1">
      <alignment/>
      <protection/>
    </xf>
    <xf numFmtId="3" fontId="36" fillId="0" borderId="0" xfId="56" applyNumberFormat="1" applyFont="1" applyFill="1" applyBorder="1">
      <alignment/>
      <protection/>
    </xf>
    <xf numFmtId="3" fontId="33" fillId="0" borderId="0" xfId="56" applyNumberFormat="1" applyFont="1" applyFill="1" applyBorder="1">
      <alignment/>
      <protection/>
    </xf>
    <xf numFmtId="3" fontId="27" fillId="29" borderId="52" xfId="56" applyNumberFormat="1" applyFont="1" applyFill="1" applyBorder="1">
      <alignment/>
      <protection/>
    </xf>
    <xf numFmtId="3" fontId="34" fillId="29" borderId="52" xfId="56" applyNumberFormat="1" applyFont="1" applyFill="1" applyBorder="1">
      <alignment/>
      <protection/>
    </xf>
    <xf numFmtId="0" fontId="32" fillId="29" borderId="134" xfId="56" applyFont="1" applyFill="1" applyBorder="1" applyAlignment="1">
      <alignment horizontal="center"/>
      <protection/>
    </xf>
    <xf numFmtId="0" fontId="32" fillId="29" borderId="42" xfId="56" applyFont="1" applyFill="1" applyBorder="1">
      <alignment/>
      <protection/>
    </xf>
    <xf numFmtId="3" fontId="0" fillId="29" borderId="42" xfId="56" applyNumberFormat="1" applyFont="1" applyFill="1" applyBorder="1">
      <alignment/>
      <protection/>
    </xf>
    <xf numFmtId="3" fontId="32" fillId="29" borderId="42" xfId="56" applyNumberFormat="1" applyFont="1" applyFill="1" applyBorder="1">
      <alignment/>
      <protection/>
    </xf>
    <xf numFmtId="3" fontId="33" fillId="29" borderId="135" xfId="56" applyNumberFormat="1" applyFont="1" applyFill="1" applyBorder="1">
      <alignment/>
      <protection/>
    </xf>
    <xf numFmtId="3" fontId="4" fillId="29" borderId="130" xfId="56" applyNumberFormat="1" applyFont="1" applyFill="1" applyBorder="1">
      <alignment/>
      <protection/>
    </xf>
    <xf numFmtId="3" fontId="4" fillId="29" borderId="131" xfId="56" applyNumberFormat="1" applyFont="1" applyFill="1" applyBorder="1">
      <alignment/>
      <protection/>
    </xf>
    <xf numFmtId="3" fontId="36" fillId="29" borderId="131" xfId="56" applyNumberFormat="1" applyFont="1" applyFill="1" applyBorder="1">
      <alignment/>
      <protection/>
    </xf>
    <xf numFmtId="0" fontId="36" fillId="29" borderId="131" xfId="56" applyFont="1" applyFill="1" applyBorder="1">
      <alignment/>
      <protection/>
    </xf>
    <xf numFmtId="3" fontId="36" fillId="29" borderId="132" xfId="56" applyNumberFormat="1" applyFont="1" applyFill="1" applyBorder="1">
      <alignment/>
      <protection/>
    </xf>
    <xf numFmtId="3" fontId="36" fillId="29" borderId="136" xfId="56" applyNumberFormat="1" applyFont="1" applyFill="1" applyBorder="1">
      <alignment/>
      <protection/>
    </xf>
    <xf numFmtId="3" fontId="33" fillId="29" borderId="133" xfId="56" applyNumberFormat="1" applyFont="1" applyFill="1" applyBorder="1">
      <alignment/>
      <protection/>
    </xf>
    <xf numFmtId="0" fontId="36" fillId="29" borderId="0" xfId="56" applyFont="1" applyFill="1" applyBorder="1" applyAlignment="1">
      <alignment horizontal="center"/>
      <protection/>
    </xf>
    <xf numFmtId="3" fontId="36" fillId="29" borderId="0" xfId="56" applyNumberFormat="1" applyFont="1" applyFill="1" applyBorder="1">
      <alignment/>
      <protection/>
    </xf>
    <xf numFmtId="0" fontId="36" fillId="29" borderId="0" xfId="56" applyFont="1" applyFill="1" applyBorder="1">
      <alignment/>
      <protection/>
    </xf>
    <xf numFmtId="3" fontId="33" fillId="29" borderId="0" xfId="56" applyNumberFormat="1" applyFont="1" applyFill="1" applyBorder="1">
      <alignment/>
      <protection/>
    </xf>
    <xf numFmtId="0" fontId="32" fillId="29" borderId="10" xfId="56" applyFont="1" applyFill="1" applyBorder="1" applyAlignment="1">
      <alignment horizontal="left" vertical="center" wrapText="1"/>
      <protection/>
    </xf>
    <xf numFmtId="3" fontId="0" fillId="29" borderId="0" xfId="56" applyNumberFormat="1" applyFill="1">
      <alignment/>
      <protection/>
    </xf>
    <xf numFmtId="0" fontId="32" fillId="29" borderId="129" xfId="56" applyFont="1" applyFill="1" applyBorder="1" applyAlignment="1">
      <alignment horizontal="center" vertical="center" wrapText="1"/>
      <protection/>
    </xf>
    <xf numFmtId="3" fontId="32" fillId="29" borderId="0" xfId="56" applyNumberFormat="1" applyFont="1" applyFill="1" applyBorder="1">
      <alignment/>
      <protection/>
    </xf>
    <xf numFmtId="0" fontId="32" fillId="29" borderId="137" xfId="56" applyFont="1" applyFill="1" applyBorder="1" applyAlignment="1">
      <alignment horizontal="center" vertical="center" wrapText="1"/>
      <protection/>
    </xf>
    <xf numFmtId="0" fontId="32" fillId="29" borderId="53" xfId="56" applyFont="1" applyFill="1" applyBorder="1" applyAlignment="1">
      <alignment horizontal="left" vertical="center" wrapText="1"/>
      <protection/>
    </xf>
    <xf numFmtId="3" fontId="0" fillId="29" borderId="53" xfId="56" applyNumberFormat="1" applyFont="1" applyFill="1" applyBorder="1">
      <alignment/>
      <protection/>
    </xf>
    <xf numFmtId="3" fontId="32" fillId="29" borderId="53" xfId="56" applyNumberFormat="1" applyFont="1" applyFill="1" applyBorder="1">
      <alignment/>
      <protection/>
    </xf>
    <xf numFmtId="0" fontId="0" fillId="29" borderId="58" xfId="56" applyFill="1" applyBorder="1">
      <alignment/>
      <protection/>
    </xf>
    <xf numFmtId="3" fontId="33" fillId="29" borderId="138" xfId="56" applyNumberFormat="1" applyFont="1" applyFill="1" applyBorder="1">
      <alignment/>
      <protection/>
    </xf>
    <xf numFmtId="3" fontId="4" fillId="0" borderId="139" xfId="56" applyNumberFormat="1" applyFont="1" applyFill="1" applyBorder="1">
      <alignment/>
      <protection/>
    </xf>
    <xf numFmtId="0" fontId="32" fillId="0" borderId="0" xfId="56" applyFont="1" applyBorder="1">
      <alignment/>
      <protection/>
    </xf>
    <xf numFmtId="0" fontId="36" fillId="0" borderId="0" xfId="56" applyFont="1" applyBorder="1">
      <alignment/>
      <protection/>
    </xf>
    <xf numFmtId="3" fontId="33" fillId="0" borderId="0" xfId="56" applyNumberFormat="1" applyFont="1" applyBorder="1">
      <alignment/>
      <protection/>
    </xf>
    <xf numFmtId="3" fontId="33" fillId="0" borderId="131" xfId="56" applyNumberFormat="1" applyFont="1" applyFill="1" applyBorder="1">
      <alignment/>
      <protection/>
    </xf>
    <xf numFmtId="3" fontId="33" fillId="0" borderId="132" xfId="56" applyNumberFormat="1" applyFont="1" applyFill="1" applyBorder="1">
      <alignment/>
      <protection/>
    </xf>
    <xf numFmtId="0" fontId="37" fillId="0" borderId="0" xfId="56" applyFont="1">
      <alignment/>
      <protection/>
    </xf>
    <xf numFmtId="0" fontId="0" fillId="0" borderId="0" xfId="56" applyFont="1">
      <alignment/>
      <protection/>
    </xf>
    <xf numFmtId="9" fontId="4" fillId="0" borderId="0" xfId="62" applyNumberFormat="1" applyFont="1" applyAlignment="1">
      <alignment/>
    </xf>
    <xf numFmtId="9" fontId="0" fillId="0" borderId="0" xfId="62" applyFont="1" applyAlignment="1">
      <alignment/>
    </xf>
    <xf numFmtId="0" fontId="0" fillId="0" borderId="0" xfId="56" applyFont="1" applyBorder="1">
      <alignment/>
      <protection/>
    </xf>
    <xf numFmtId="0" fontId="38" fillId="0" borderId="0" xfId="56" applyFont="1">
      <alignment/>
      <protection/>
    </xf>
    <xf numFmtId="9" fontId="4" fillId="0" borderId="0" xfId="62" applyFont="1" applyAlignment="1">
      <alignment/>
    </xf>
    <xf numFmtId="9" fontId="0" fillId="0" borderId="0" xfId="62" applyAlignment="1">
      <alignment/>
    </xf>
    <xf numFmtId="0" fontId="9" fillId="0" borderId="0" xfId="56" applyFont="1" applyAlignment="1">
      <alignment horizontal="left"/>
      <protection/>
    </xf>
    <xf numFmtId="0" fontId="32" fillId="29" borderId="140" xfId="56" applyFont="1" applyFill="1" applyBorder="1" applyAlignment="1">
      <alignment horizontal="center"/>
      <protection/>
    </xf>
    <xf numFmtId="0" fontId="32" fillId="29" borderId="141" xfId="56" applyFont="1" applyFill="1" applyBorder="1">
      <alignment/>
      <protection/>
    </xf>
    <xf numFmtId="3" fontId="32" fillId="29" borderId="141" xfId="56" applyNumberFormat="1" applyFont="1" applyFill="1" applyBorder="1">
      <alignment/>
      <protection/>
    </xf>
    <xf numFmtId="3" fontId="32" fillId="29" borderId="142" xfId="56" applyNumberFormat="1" applyFont="1" applyFill="1" applyBorder="1">
      <alignment/>
      <protection/>
    </xf>
    <xf numFmtId="3" fontId="32" fillId="29" borderId="143" xfId="56" applyNumberFormat="1" applyFont="1" applyFill="1" applyBorder="1">
      <alignment/>
      <protection/>
    </xf>
    <xf numFmtId="3" fontId="33" fillId="29" borderId="24" xfId="56" applyNumberFormat="1" applyFont="1" applyFill="1" applyBorder="1">
      <alignment/>
      <protection/>
    </xf>
    <xf numFmtId="0" fontId="32" fillId="29" borderId="144" xfId="56" applyFont="1" applyFill="1" applyBorder="1" applyAlignment="1">
      <alignment horizontal="center"/>
      <protection/>
    </xf>
    <xf numFmtId="0" fontId="32" fillId="29" borderId="145" xfId="56" applyFont="1" applyFill="1" applyBorder="1">
      <alignment/>
      <protection/>
    </xf>
    <xf numFmtId="3" fontId="32" fillId="29" borderId="145" xfId="56" applyNumberFormat="1" applyFont="1" applyFill="1" applyBorder="1">
      <alignment/>
      <protection/>
    </xf>
    <xf numFmtId="0" fontId="32" fillId="29" borderId="146" xfId="56" applyFont="1" applyFill="1" applyBorder="1">
      <alignment/>
      <protection/>
    </xf>
    <xf numFmtId="0" fontId="32" fillId="29" borderId="147" xfId="56" applyFont="1" applyFill="1" applyBorder="1">
      <alignment/>
      <protection/>
    </xf>
    <xf numFmtId="3" fontId="33" fillId="29" borderId="21" xfId="56" applyNumberFormat="1" applyFont="1" applyFill="1" applyBorder="1">
      <alignment/>
      <protection/>
    </xf>
    <xf numFmtId="3" fontId="32" fillId="29" borderId="146" xfId="56" applyNumberFormat="1" applyFont="1" applyFill="1" applyBorder="1">
      <alignment/>
      <protection/>
    </xf>
    <xf numFmtId="3" fontId="32" fillId="29" borderId="147" xfId="56" applyNumberFormat="1" applyFont="1" applyFill="1" applyBorder="1">
      <alignment/>
      <protection/>
    </xf>
    <xf numFmtId="0" fontId="32" fillId="29" borderId="27" xfId="56" applyFont="1" applyFill="1" applyBorder="1" applyAlignment="1">
      <alignment horizontal="center"/>
      <protection/>
    </xf>
    <xf numFmtId="0" fontId="32" fillId="29" borderId="19" xfId="56" applyFont="1" applyFill="1" applyBorder="1">
      <alignment/>
      <protection/>
    </xf>
    <xf numFmtId="3" fontId="32" fillId="29" borderId="19" xfId="56" applyNumberFormat="1" applyFont="1" applyFill="1" applyBorder="1">
      <alignment/>
      <protection/>
    </xf>
    <xf numFmtId="3" fontId="32" fillId="29" borderId="68" xfId="56" applyNumberFormat="1" applyFont="1" applyFill="1" applyBorder="1">
      <alignment/>
      <protection/>
    </xf>
    <xf numFmtId="3" fontId="32" fillId="29" borderId="66" xfId="56" applyNumberFormat="1" applyFont="1" applyFill="1" applyBorder="1">
      <alignment/>
      <protection/>
    </xf>
    <xf numFmtId="3" fontId="32" fillId="29" borderId="39" xfId="56" applyNumberFormat="1" applyFont="1" applyFill="1" applyBorder="1">
      <alignment/>
      <protection/>
    </xf>
    <xf numFmtId="3" fontId="33" fillId="29" borderId="23" xfId="56" applyNumberFormat="1" applyFont="1" applyFill="1" applyBorder="1">
      <alignment/>
      <protection/>
    </xf>
    <xf numFmtId="3" fontId="36" fillId="25" borderId="19" xfId="56" applyNumberFormat="1" applyFont="1" applyFill="1" applyBorder="1">
      <alignment/>
      <protection/>
    </xf>
    <xf numFmtId="3" fontId="36" fillId="25" borderId="66" xfId="56" applyNumberFormat="1" applyFont="1" applyFill="1" applyBorder="1">
      <alignment/>
      <protection/>
    </xf>
    <xf numFmtId="3" fontId="33" fillId="25" borderId="51" xfId="56" applyNumberFormat="1" applyFont="1" applyFill="1" applyBorder="1">
      <alignment/>
      <protection/>
    </xf>
    <xf numFmtId="3" fontId="34" fillId="29" borderId="141" xfId="56" applyNumberFormat="1" applyFont="1" applyFill="1" applyBorder="1">
      <alignment/>
      <protection/>
    </xf>
    <xf numFmtId="3" fontId="34" fillId="29" borderId="143" xfId="56" applyNumberFormat="1" applyFont="1" applyFill="1" applyBorder="1">
      <alignment/>
      <protection/>
    </xf>
    <xf numFmtId="3" fontId="34" fillId="29" borderId="142" xfId="56" applyNumberFormat="1" applyFont="1" applyFill="1" applyBorder="1">
      <alignment/>
      <protection/>
    </xf>
    <xf numFmtId="3" fontId="32" fillId="29" borderId="148" xfId="56" applyNumberFormat="1" applyFont="1" applyFill="1" applyBorder="1">
      <alignment/>
      <protection/>
    </xf>
    <xf numFmtId="3" fontId="33" fillId="29" borderId="149" xfId="56" applyNumberFormat="1" applyFont="1" applyFill="1" applyBorder="1">
      <alignment/>
      <protection/>
    </xf>
    <xf numFmtId="3" fontId="34" fillId="29" borderId="145" xfId="56" applyNumberFormat="1" applyFont="1" applyFill="1" applyBorder="1">
      <alignment/>
      <protection/>
    </xf>
    <xf numFmtId="3" fontId="34" fillId="29" borderId="146" xfId="56" applyNumberFormat="1" applyFont="1" applyFill="1" applyBorder="1">
      <alignment/>
      <protection/>
    </xf>
    <xf numFmtId="3" fontId="34" fillId="29" borderId="147" xfId="56" applyNumberFormat="1" applyFont="1" applyFill="1" applyBorder="1">
      <alignment/>
      <protection/>
    </xf>
    <xf numFmtId="3" fontId="32" fillId="29" borderId="150" xfId="56" applyNumberFormat="1" applyFont="1" applyFill="1" applyBorder="1">
      <alignment/>
      <protection/>
    </xf>
    <xf numFmtId="3" fontId="33" fillId="29" borderId="151" xfId="56" applyNumberFormat="1" applyFont="1" applyFill="1" applyBorder="1">
      <alignment/>
      <protection/>
    </xf>
    <xf numFmtId="0" fontId="32" fillId="29" borderId="150" xfId="56" applyFont="1" applyFill="1" applyBorder="1">
      <alignment/>
      <protection/>
    </xf>
    <xf numFmtId="0" fontId="32" fillId="29" borderId="39" xfId="56" applyFont="1" applyFill="1" applyBorder="1">
      <alignment/>
      <protection/>
    </xf>
    <xf numFmtId="3" fontId="33" fillId="29" borderId="152" xfId="56" applyNumberFormat="1" applyFont="1" applyFill="1" applyBorder="1">
      <alignment/>
      <protection/>
    </xf>
    <xf numFmtId="3" fontId="36" fillId="25" borderId="131" xfId="56" applyNumberFormat="1" applyFont="1" applyFill="1" applyBorder="1">
      <alignment/>
      <protection/>
    </xf>
    <xf numFmtId="3" fontId="33" fillId="25" borderId="133" xfId="56" applyNumberFormat="1" applyFont="1" applyFill="1" applyBorder="1">
      <alignment/>
      <protection/>
    </xf>
    <xf numFmtId="209" fontId="32" fillId="29" borderId="145" xfId="56" applyNumberFormat="1" applyFont="1" applyFill="1" applyBorder="1">
      <alignment/>
      <protection/>
    </xf>
    <xf numFmtId="209" fontId="32" fillId="29" borderId="150" xfId="56" applyNumberFormat="1" applyFont="1" applyFill="1" applyBorder="1">
      <alignment/>
      <protection/>
    </xf>
    <xf numFmtId="3" fontId="39" fillId="29" borderId="145" xfId="56" applyNumberFormat="1" applyFont="1" applyFill="1" applyBorder="1">
      <alignment/>
      <protection/>
    </xf>
    <xf numFmtId="3" fontId="39" fillId="29" borderId="146" xfId="56" applyNumberFormat="1" applyFont="1" applyFill="1" applyBorder="1">
      <alignment/>
      <protection/>
    </xf>
    <xf numFmtId="3" fontId="39" fillId="29" borderId="147" xfId="56" applyNumberFormat="1" applyFont="1" applyFill="1" applyBorder="1">
      <alignment/>
      <protection/>
    </xf>
    <xf numFmtId="3" fontId="32" fillId="29" borderId="147" xfId="56" applyNumberFormat="1" applyFont="1" applyFill="1" applyBorder="1" applyAlignment="1">
      <alignment horizontal="center"/>
      <protection/>
    </xf>
    <xf numFmtId="0" fontId="32" fillId="0" borderId="19" xfId="56" applyFont="1" applyFill="1" applyBorder="1">
      <alignment/>
      <protection/>
    </xf>
    <xf numFmtId="3" fontId="32" fillId="0" borderId="19" xfId="56" applyNumberFormat="1" applyFont="1" applyFill="1" applyBorder="1">
      <alignment/>
      <protection/>
    </xf>
    <xf numFmtId="3" fontId="32" fillId="0" borderId="68" xfId="56" applyNumberFormat="1" applyFont="1" applyFill="1" applyBorder="1">
      <alignment/>
      <protection/>
    </xf>
    <xf numFmtId="3" fontId="32" fillId="0" borderId="66" xfId="56" applyNumberFormat="1" applyFont="1" applyFill="1" applyBorder="1">
      <alignment/>
      <protection/>
    </xf>
    <xf numFmtId="3" fontId="32" fillId="0" borderId="0" xfId="56" applyNumberFormat="1" applyFont="1" applyFill="1" applyBorder="1">
      <alignment/>
      <protection/>
    </xf>
    <xf numFmtId="3" fontId="33" fillId="0" borderId="151" xfId="56" applyNumberFormat="1" applyFont="1" applyFill="1" applyBorder="1">
      <alignment/>
      <protection/>
    </xf>
    <xf numFmtId="3" fontId="0" fillId="0" borderId="0" xfId="56" applyNumberFormat="1">
      <alignment/>
      <protection/>
    </xf>
    <xf numFmtId="0" fontId="32" fillId="0" borderId="0" xfId="56" applyFont="1" applyFill="1" applyBorder="1" applyAlignment="1">
      <alignment horizontal="left"/>
      <protection/>
    </xf>
    <xf numFmtId="3" fontId="4" fillId="0" borderId="132" xfId="56" applyNumberFormat="1" applyFont="1" applyFill="1" applyBorder="1">
      <alignment/>
      <protection/>
    </xf>
    <xf numFmtId="3" fontId="4" fillId="0" borderId="133" xfId="56" applyNumberFormat="1" applyFont="1" applyFill="1" applyBorder="1">
      <alignment/>
      <protection/>
    </xf>
    <xf numFmtId="0" fontId="32" fillId="0" borderId="0" xfId="56" applyFont="1" applyFill="1" applyBorder="1" applyAlignment="1">
      <alignment horizontal="center"/>
      <protection/>
    </xf>
    <xf numFmtId="0" fontId="41" fillId="0" borderId="0" xfId="56" applyFont="1" applyFill="1" applyBorder="1">
      <alignment/>
      <protection/>
    </xf>
    <xf numFmtId="3" fontId="33" fillId="25" borderId="131" xfId="56" applyNumberFormat="1" applyFont="1" applyFill="1" applyBorder="1">
      <alignment/>
      <protection/>
    </xf>
    <xf numFmtId="3" fontId="33" fillId="25" borderId="136" xfId="56" applyNumberFormat="1" applyFont="1" applyFill="1" applyBorder="1">
      <alignment/>
      <protection/>
    </xf>
    <xf numFmtId="3" fontId="146" fillId="0" borderId="0" xfId="56" applyNumberFormat="1" applyFont="1" applyBorder="1">
      <alignment/>
      <protection/>
    </xf>
    <xf numFmtId="0" fontId="147" fillId="0" borderId="0" xfId="56" applyFont="1">
      <alignment/>
      <protection/>
    </xf>
    <xf numFmtId="0" fontId="0" fillId="0" borderId="0" xfId="56" applyFill="1" applyBorder="1">
      <alignment/>
      <protection/>
    </xf>
    <xf numFmtId="3" fontId="147" fillId="0" borderId="0" xfId="56" applyNumberFormat="1" applyFont="1" applyBorder="1">
      <alignment/>
      <protection/>
    </xf>
    <xf numFmtId="0" fontId="42" fillId="0" borderId="0" xfId="56" applyFont="1" applyBorder="1">
      <alignment/>
      <protection/>
    </xf>
    <xf numFmtId="3" fontId="147" fillId="0" borderId="0" xfId="56" applyNumberFormat="1" applyFont="1">
      <alignment/>
      <protection/>
    </xf>
    <xf numFmtId="0" fontId="4" fillId="0" borderId="0" xfId="56" applyFont="1" applyBorder="1">
      <alignment/>
      <protection/>
    </xf>
    <xf numFmtId="0" fontId="147" fillId="0" borderId="0" xfId="56" applyFont="1" applyBorder="1">
      <alignment/>
      <protection/>
    </xf>
    <xf numFmtId="0" fontId="148" fillId="29" borderId="0" xfId="56" applyFont="1" applyFill="1">
      <alignment/>
      <protection/>
    </xf>
    <xf numFmtId="0" fontId="148" fillId="0" borderId="0" xfId="56" applyFont="1">
      <alignment/>
      <protection/>
    </xf>
    <xf numFmtId="0" fontId="148" fillId="0" borderId="10" xfId="56" applyFont="1" applyBorder="1">
      <alignment/>
      <protection/>
    </xf>
    <xf numFmtId="0" fontId="13" fillId="0" borderId="0" xfId="56" applyFont="1" applyAlignment="1">
      <alignment horizontal="left"/>
      <protection/>
    </xf>
    <xf numFmtId="0" fontId="13" fillId="29" borderId="0" xfId="56" applyFont="1" applyFill="1" applyAlignment="1">
      <alignment horizontal="left"/>
      <protection/>
    </xf>
    <xf numFmtId="0" fontId="149" fillId="29" borderId="0" xfId="56" applyFont="1" applyFill="1" applyAlignment="1">
      <alignment horizontal="left"/>
      <protection/>
    </xf>
    <xf numFmtId="3" fontId="148" fillId="0" borderId="0" xfId="56" applyNumberFormat="1" applyFont="1">
      <alignment/>
      <protection/>
    </xf>
    <xf numFmtId="0" fontId="2" fillId="29" borderId="0" xfId="56" applyFont="1" applyFill="1" applyBorder="1" applyAlignment="1">
      <alignment horizontal="center"/>
      <protection/>
    </xf>
    <xf numFmtId="0" fontId="150" fillId="29" borderId="0" xfId="56" applyFont="1" applyFill="1" applyBorder="1" applyAlignment="1">
      <alignment horizontal="center"/>
      <protection/>
    </xf>
    <xf numFmtId="1" fontId="148" fillId="0" borderId="0" xfId="56" applyNumberFormat="1" applyFont="1">
      <alignment/>
      <protection/>
    </xf>
    <xf numFmtId="3" fontId="4" fillId="0" borderId="10" xfId="56" applyNumberFormat="1" applyFont="1" applyFill="1" applyBorder="1">
      <alignment/>
      <protection/>
    </xf>
    <xf numFmtId="3" fontId="150" fillId="29" borderId="0" xfId="56" applyNumberFormat="1" applyFont="1" applyFill="1" applyBorder="1">
      <alignment/>
      <protection/>
    </xf>
    <xf numFmtId="0" fontId="148" fillId="0" borderId="0" xfId="56" applyFont="1" applyAlignment="1">
      <alignment horizontal="center"/>
      <protection/>
    </xf>
    <xf numFmtId="0" fontId="148" fillId="0" borderId="0" xfId="56" applyFont="1" applyBorder="1">
      <alignment/>
      <protection/>
    </xf>
    <xf numFmtId="0" fontId="4" fillId="0" borderId="10" xfId="56" applyFont="1" applyFill="1" applyBorder="1">
      <alignment/>
      <protection/>
    </xf>
    <xf numFmtId="216" fontId="4" fillId="0" borderId="10" xfId="56" applyNumberFormat="1" applyFont="1" applyFill="1" applyBorder="1" applyAlignment="1">
      <alignment horizontal="center"/>
      <protection/>
    </xf>
    <xf numFmtId="9" fontId="150" fillId="29" borderId="0" xfId="64" applyFont="1" applyFill="1" applyBorder="1" applyAlignment="1">
      <alignment horizontal="center"/>
    </xf>
    <xf numFmtId="216" fontId="150" fillId="29" borderId="0" xfId="56" applyNumberFormat="1" applyFont="1" applyFill="1" applyBorder="1" applyAlignment="1">
      <alignment horizontal="center"/>
      <protection/>
    </xf>
    <xf numFmtId="3" fontId="148" fillId="0" borderId="0" xfId="56" applyNumberFormat="1" applyFont="1" applyBorder="1">
      <alignment/>
      <protection/>
    </xf>
    <xf numFmtId="0" fontId="4" fillId="0" borderId="43" xfId="56" applyFont="1" applyBorder="1">
      <alignment/>
      <protection/>
    </xf>
    <xf numFmtId="216" fontId="0" fillId="0" borderId="43" xfId="56" applyNumberFormat="1" applyBorder="1">
      <alignment/>
      <protection/>
    </xf>
    <xf numFmtId="216" fontId="4" fillId="0" borderId="43" xfId="56" applyNumberFormat="1" applyFont="1" applyBorder="1" applyAlignment="1">
      <alignment horizontal="center"/>
      <protection/>
    </xf>
    <xf numFmtId="216" fontId="4" fillId="29" borderId="0" xfId="56" applyNumberFormat="1" applyFont="1" applyFill="1" applyBorder="1" applyAlignment="1">
      <alignment horizontal="center"/>
      <protection/>
    </xf>
    <xf numFmtId="216" fontId="148" fillId="0" borderId="0" xfId="56" applyNumberFormat="1" applyFont="1">
      <alignment/>
      <protection/>
    </xf>
    <xf numFmtId="216" fontId="0" fillId="0" borderId="0" xfId="56" applyNumberFormat="1" applyBorder="1">
      <alignment/>
      <protection/>
    </xf>
    <xf numFmtId="216" fontId="4" fillId="0" borderId="0" xfId="56" applyNumberFormat="1" applyFont="1" applyBorder="1" applyAlignment="1">
      <alignment horizontal="center"/>
      <protection/>
    </xf>
    <xf numFmtId="3" fontId="148" fillId="29" borderId="0" xfId="56" applyNumberFormat="1" applyFont="1" applyFill="1" applyBorder="1">
      <alignment/>
      <protection/>
    </xf>
    <xf numFmtId="0" fontId="1" fillId="29" borderId="0" xfId="56" applyFont="1" applyFill="1" applyBorder="1" applyAlignment="1">
      <alignment horizontal="left"/>
      <protection/>
    </xf>
    <xf numFmtId="0" fontId="151" fillId="29" borderId="0" xfId="56" applyFont="1" applyFill="1" applyBorder="1" applyAlignment="1">
      <alignment horizontal="left"/>
      <protection/>
    </xf>
    <xf numFmtId="0" fontId="13" fillId="29" borderId="0" xfId="56" applyFont="1" applyFill="1" applyBorder="1" applyAlignment="1">
      <alignment horizontal="left"/>
      <protection/>
    </xf>
    <xf numFmtId="0" fontId="149" fillId="29" borderId="0" xfId="56" applyFont="1" applyFill="1" applyBorder="1" applyAlignment="1">
      <alignment horizontal="left"/>
      <protection/>
    </xf>
    <xf numFmtId="0" fontId="2" fillId="29" borderId="0" xfId="56" applyFont="1" applyFill="1" applyBorder="1">
      <alignment/>
      <protection/>
    </xf>
    <xf numFmtId="3" fontId="148" fillId="0" borderId="10" xfId="56" applyNumberFormat="1" applyFont="1" applyBorder="1">
      <alignment/>
      <protection/>
    </xf>
    <xf numFmtId="0" fontId="148" fillId="29" borderId="0" xfId="56" applyFont="1" applyFill="1" applyBorder="1">
      <alignment/>
      <protection/>
    </xf>
    <xf numFmtId="3" fontId="4" fillId="0" borderId="10" xfId="0" applyNumberFormat="1" applyFont="1" applyFill="1" applyBorder="1" applyAlignment="1">
      <alignment/>
    </xf>
    <xf numFmtId="216" fontId="0" fillId="0" borderId="10" xfId="0" applyNumberFormat="1" applyFont="1" applyFill="1" applyBorder="1" applyAlignment="1">
      <alignment/>
    </xf>
    <xf numFmtId="0" fontId="148" fillId="0" borderId="10" xfId="56" applyFont="1" applyFill="1" applyBorder="1">
      <alignment/>
      <protection/>
    </xf>
    <xf numFmtId="3" fontId="148" fillId="0" borderId="17" xfId="56" applyNumberFormat="1" applyFont="1" applyBorder="1">
      <alignment/>
      <protection/>
    </xf>
    <xf numFmtId="1" fontId="148" fillId="0" borderId="57" xfId="56" applyNumberFormat="1" applyFont="1" applyBorder="1">
      <alignment/>
      <protection/>
    </xf>
    <xf numFmtId="211" fontId="0" fillId="29" borderId="51" xfId="57" applyNumberFormat="1" applyFill="1" applyBorder="1" applyAlignment="1">
      <alignment horizontal="center"/>
      <protection/>
    </xf>
    <xf numFmtId="202" fontId="4" fillId="29" borderId="68" xfId="57" applyNumberFormat="1" applyFont="1" applyFill="1" applyBorder="1">
      <alignment/>
      <protection/>
    </xf>
    <xf numFmtId="202" fontId="0" fillId="29" borderId="68" xfId="57" applyNumberFormat="1" applyFill="1" applyBorder="1">
      <alignment/>
      <protection/>
    </xf>
    <xf numFmtId="202" fontId="0" fillId="29" borderId="66" xfId="57" applyNumberFormat="1" applyFill="1" applyBorder="1">
      <alignment/>
      <protection/>
    </xf>
    <xf numFmtId="201" fontId="0" fillId="29" borderId="19" xfId="57" applyNumberFormat="1" applyFill="1" applyBorder="1">
      <alignment/>
      <protection/>
    </xf>
    <xf numFmtId="202" fontId="0" fillId="29" borderId="19" xfId="57" applyNumberFormat="1" applyFill="1" applyBorder="1">
      <alignment/>
      <protection/>
    </xf>
    <xf numFmtId="202" fontId="0" fillId="29" borderId="98" xfId="57" applyNumberFormat="1" applyFill="1" applyBorder="1">
      <alignment/>
      <protection/>
    </xf>
    <xf numFmtId="202" fontId="4" fillId="0" borderId="0" xfId="0" applyNumberFormat="1" applyFont="1" applyFill="1" applyBorder="1" applyAlignment="1">
      <alignment/>
    </xf>
    <xf numFmtId="202" fontId="0" fillId="0" borderId="0" xfId="0" applyNumberFormat="1" applyFill="1" applyBorder="1" applyAlignment="1">
      <alignment vertical="center"/>
    </xf>
    <xf numFmtId="0" fontId="4" fillId="0" borderId="29" xfId="0" applyFont="1" applyFill="1" applyBorder="1" applyAlignment="1">
      <alignment horizontal="center"/>
    </xf>
    <xf numFmtId="202" fontId="7" fillId="0" borderId="0" xfId="0" applyNumberFormat="1" applyFont="1" applyFill="1" applyBorder="1" applyAlignment="1">
      <alignment/>
    </xf>
    <xf numFmtId="3" fontId="36" fillId="0" borderId="153" xfId="56" applyNumberFormat="1" applyFont="1" applyFill="1" applyBorder="1">
      <alignment/>
      <protection/>
    </xf>
    <xf numFmtId="3" fontId="4" fillId="0" borderId="153" xfId="56" applyNumberFormat="1" applyFont="1" applyFill="1" applyBorder="1">
      <alignment/>
      <protection/>
    </xf>
    <xf numFmtId="201" fontId="143" fillId="31" borderId="34" xfId="57" applyNumberFormat="1" applyFont="1" applyFill="1" applyBorder="1" applyAlignment="1">
      <alignment horizontal="center"/>
      <protection/>
    </xf>
    <xf numFmtId="201" fontId="143" fillId="31" borderId="154" xfId="57" applyNumberFormat="1" applyFont="1" applyFill="1" applyBorder="1" applyAlignment="1">
      <alignment horizontal="center"/>
      <protection/>
    </xf>
    <xf numFmtId="201" fontId="143" fillId="31" borderId="20" xfId="57" applyNumberFormat="1" applyFont="1" applyFill="1" applyBorder="1" applyAlignment="1">
      <alignment horizontal="centerContinuous"/>
      <protection/>
    </xf>
    <xf numFmtId="201" fontId="143" fillId="31" borderId="52" xfId="57" applyNumberFormat="1" applyFont="1" applyFill="1" applyBorder="1" applyAlignment="1">
      <alignment horizontal="centerContinuous"/>
      <protection/>
    </xf>
    <xf numFmtId="201" fontId="144" fillId="31" borderId="52" xfId="57" applyNumberFormat="1" applyFont="1" applyFill="1" applyBorder="1" applyAlignment="1">
      <alignment horizontal="centerContinuous"/>
      <protection/>
    </xf>
    <xf numFmtId="201" fontId="144" fillId="31" borderId="35" xfId="57" applyNumberFormat="1" applyFont="1" applyFill="1" applyBorder="1" applyAlignment="1">
      <alignment horizontal="centerContinuous"/>
      <protection/>
    </xf>
    <xf numFmtId="201" fontId="144" fillId="31" borderId="128" xfId="57" applyNumberFormat="1" applyFont="1" applyFill="1" applyBorder="1" applyAlignment="1">
      <alignment horizontal="centerContinuous"/>
      <protection/>
    </xf>
    <xf numFmtId="201" fontId="143" fillId="31" borderId="51" xfId="57" applyNumberFormat="1" applyFont="1" applyFill="1" applyBorder="1" applyAlignment="1">
      <alignment horizontal="center"/>
      <protection/>
    </xf>
    <xf numFmtId="201" fontId="143" fillId="31" borderId="68" xfId="57" applyNumberFormat="1" applyFont="1" applyFill="1" applyBorder="1" applyAlignment="1">
      <alignment horizontal="center"/>
      <protection/>
    </xf>
    <xf numFmtId="201" fontId="152" fillId="31" borderId="125" xfId="57" applyNumberFormat="1" applyFont="1" applyFill="1" applyBorder="1" applyAlignment="1">
      <alignment/>
      <protection/>
    </xf>
    <xf numFmtId="201" fontId="152" fillId="31" borderId="53" xfId="57" applyNumberFormat="1" applyFont="1" applyFill="1" applyBorder="1" applyAlignment="1">
      <alignment horizontal="center"/>
      <protection/>
    </xf>
    <xf numFmtId="201" fontId="153" fillId="31" borderId="125" xfId="57" applyNumberFormat="1" applyFont="1" applyFill="1" applyBorder="1" applyAlignment="1">
      <alignment horizontal="center"/>
      <protection/>
    </xf>
    <xf numFmtId="201" fontId="152" fillId="31" borderId="58" xfId="57" applyNumberFormat="1" applyFont="1" applyFill="1" applyBorder="1" applyAlignment="1">
      <alignment horizontal="center"/>
      <protection/>
    </xf>
    <xf numFmtId="201" fontId="152" fillId="31" borderId="138" xfId="57" applyNumberFormat="1" applyFont="1" applyFill="1" applyBorder="1" applyAlignment="1">
      <alignment horizontal="center"/>
      <protection/>
    </xf>
    <xf numFmtId="0" fontId="2" fillId="31" borderId="41" xfId="0" applyFont="1" applyFill="1" applyBorder="1" applyAlignment="1">
      <alignment horizontal="center"/>
    </xf>
    <xf numFmtId="0" fontId="5" fillId="31" borderId="42" xfId="0" applyFont="1" applyFill="1" applyBorder="1" applyAlignment="1">
      <alignment horizontal="center"/>
    </xf>
    <xf numFmtId="0" fontId="5" fillId="31" borderId="43" xfId="0" applyFont="1" applyFill="1" applyBorder="1" applyAlignment="1">
      <alignment horizontal="center"/>
    </xf>
    <xf numFmtId="0" fontId="5" fillId="31" borderId="41" xfId="0" applyFont="1" applyFill="1" applyBorder="1" applyAlignment="1">
      <alignment horizontal="center"/>
    </xf>
    <xf numFmtId="0" fontId="5" fillId="31" borderId="44" xfId="0" applyFont="1" applyFill="1" applyBorder="1" applyAlignment="1">
      <alignment horizontal="center"/>
    </xf>
    <xf numFmtId="0" fontId="5" fillId="31" borderId="45" xfId="0" applyFont="1" applyFill="1" applyBorder="1" applyAlignment="1">
      <alignment horizontal="center"/>
    </xf>
    <xf numFmtId="0" fontId="0" fillId="31" borderId="37" xfId="0" applyFill="1" applyBorder="1" applyAlignment="1">
      <alignment horizontal="center"/>
    </xf>
    <xf numFmtId="202" fontId="4" fillId="31" borderId="62" xfId="0" applyNumberFormat="1" applyFont="1" applyFill="1" applyBorder="1" applyAlignment="1">
      <alignment/>
    </xf>
    <xf numFmtId="202" fontId="0" fillId="31" borderId="80" xfId="0" applyNumberFormat="1" applyFill="1" applyBorder="1" applyAlignment="1">
      <alignment/>
    </xf>
    <xf numFmtId="202" fontId="0" fillId="31" borderId="59" xfId="0" applyNumberFormat="1" applyFill="1" applyBorder="1" applyAlignment="1">
      <alignment/>
    </xf>
    <xf numFmtId="202" fontId="0" fillId="31" borderId="62" xfId="0" applyNumberFormat="1" applyFill="1" applyBorder="1" applyAlignment="1">
      <alignment/>
    </xf>
    <xf numFmtId="202" fontId="0" fillId="31" borderId="57" xfId="0" applyNumberFormat="1" applyFill="1" applyBorder="1" applyAlignment="1">
      <alignment/>
    </xf>
    <xf numFmtId="202" fontId="0" fillId="31" borderId="63" xfId="0" applyNumberFormat="1" applyFill="1" applyBorder="1" applyAlignment="1">
      <alignment/>
    </xf>
    <xf numFmtId="0" fontId="3" fillId="31" borderId="32" xfId="0" applyFont="1" applyFill="1" applyBorder="1" applyAlignment="1">
      <alignment/>
    </xf>
    <xf numFmtId="0" fontId="2" fillId="31" borderId="28" xfId="0" applyFont="1" applyFill="1" applyBorder="1" applyAlignment="1">
      <alignment horizontal="center" vertical="center"/>
    </xf>
    <xf numFmtId="0" fontId="3" fillId="31" borderId="97" xfId="0" applyFont="1" applyFill="1" applyBorder="1" applyAlignment="1">
      <alignment horizontal="center" vertical="center"/>
    </xf>
    <xf numFmtId="0" fontId="144" fillId="31" borderId="32" xfId="0" applyFont="1" applyFill="1" applyBorder="1" applyAlignment="1">
      <alignment/>
    </xf>
    <xf numFmtId="0" fontId="143" fillId="31" borderId="28" xfId="0" applyFont="1" applyFill="1" applyBorder="1" applyAlignment="1">
      <alignment horizontal="center" vertical="center"/>
    </xf>
    <xf numFmtId="0" fontId="144" fillId="31" borderId="97" xfId="0" applyFont="1" applyFill="1" applyBorder="1" applyAlignment="1">
      <alignment horizontal="center" vertical="center"/>
    </xf>
    <xf numFmtId="0" fontId="3" fillId="31" borderId="32" xfId="0" applyFont="1" applyFill="1" applyBorder="1" applyAlignment="1">
      <alignment horizontal="center"/>
    </xf>
    <xf numFmtId="0" fontId="2" fillId="31" borderId="32" xfId="0" applyFont="1" applyFill="1" applyBorder="1" applyAlignment="1">
      <alignment horizontal="center"/>
    </xf>
    <xf numFmtId="0" fontId="2" fillId="31" borderId="34" xfId="0" applyFont="1" applyFill="1" applyBorder="1" applyAlignment="1">
      <alignment horizontal="center"/>
    </xf>
    <xf numFmtId="0" fontId="2" fillId="31" borderId="97" xfId="0" applyFont="1" applyFill="1" applyBorder="1" applyAlignment="1">
      <alignment horizontal="center"/>
    </xf>
    <xf numFmtId="0" fontId="2" fillId="31" borderId="51" xfId="0" applyFont="1" applyFill="1" applyBorder="1" applyAlignment="1">
      <alignment horizontal="center"/>
    </xf>
    <xf numFmtId="0" fontId="2" fillId="31" borderId="33" xfId="0" applyFont="1" applyFill="1" applyBorder="1" applyAlignment="1">
      <alignment vertical="center"/>
    </xf>
    <xf numFmtId="0" fontId="2" fillId="31" borderId="33" xfId="0" applyFont="1" applyFill="1" applyBorder="1" applyAlignment="1">
      <alignment horizontal="center" vertical="center" wrapText="1"/>
    </xf>
    <xf numFmtId="0" fontId="2" fillId="31" borderId="155" xfId="0" applyFont="1" applyFill="1" applyBorder="1" applyAlignment="1">
      <alignment vertical="center"/>
    </xf>
    <xf numFmtId="0" fontId="2" fillId="31" borderId="62" xfId="0" applyFont="1" applyFill="1" applyBorder="1" applyAlignment="1">
      <alignment horizontal="center" vertical="center"/>
    </xf>
    <xf numFmtId="0" fontId="2" fillId="31" borderId="59" xfId="0" applyFont="1" applyFill="1" applyBorder="1" applyAlignment="1">
      <alignment horizontal="center" vertical="center"/>
    </xf>
    <xf numFmtId="0" fontId="2" fillId="31" borderId="59" xfId="0" applyFont="1" applyFill="1" applyBorder="1" applyAlignment="1">
      <alignment horizontal="center" vertical="center" wrapText="1"/>
    </xf>
    <xf numFmtId="3" fontId="2" fillId="31" borderId="59" xfId="0" applyNumberFormat="1" applyFont="1" applyFill="1" applyBorder="1" applyAlignment="1">
      <alignment horizontal="center" vertical="center"/>
    </xf>
    <xf numFmtId="3" fontId="2" fillId="31" borderId="63" xfId="0" applyNumberFormat="1" applyFont="1" applyFill="1" applyBorder="1" applyAlignment="1">
      <alignment horizontal="center" vertical="center"/>
    </xf>
    <xf numFmtId="0" fontId="2" fillId="31" borderId="32" xfId="57" applyFont="1" applyFill="1" applyBorder="1" applyAlignment="1">
      <alignment horizontal="center" vertical="center"/>
      <protection/>
    </xf>
    <xf numFmtId="0" fontId="0" fillId="0" borderId="0" xfId="57" applyFont="1">
      <alignment/>
      <protection/>
    </xf>
    <xf numFmtId="3" fontId="0" fillId="0" borderId="118" xfId="57" applyNumberFormat="1" applyFont="1" applyFill="1" applyBorder="1">
      <alignment/>
      <protection/>
    </xf>
    <xf numFmtId="3" fontId="0" fillId="0" borderId="119" xfId="57" applyNumberFormat="1" applyFont="1" applyFill="1" applyBorder="1" applyAlignment="1">
      <alignment horizontal="right"/>
      <protection/>
    </xf>
    <xf numFmtId="0" fontId="0" fillId="0" borderId="121" xfId="57" applyFont="1" applyFill="1" applyBorder="1">
      <alignment/>
      <protection/>
    </xf>
    <xf numFmtId="0" fontId="0" fillId="0" borderId="31" xfId="57" applyFont="1" applyFill="1" applyBorder="1">
      <alignment/>
      <protection/>
    </xf>
    <xf numFmtId="201" fontId="0" fillId="0" borderId="0" xfId="57" applyNumberFormat="1" applyFont="1">
      <alignment/>
      <protection/>
    </xf>
    <xf numFmtId="0" fontId="0" fillId="0" borderId="0" xfId="57" applyFont="1" applyFill="1" applyBorder="1">
      <alignment/>
      <protection/>
    </xf>
    <xf numFmtId="0" fontId="0" fillId="0" borderId="0" xfId="57" applyFont="1" applyFill="1" applyBorder="1" applyAlignment="1">
      <alignment horizontal="center"/>
      <protection/>
    </xf>
    <xf numFmtId="202" fontId="0" fillId="0" borderId="0" xfId="57" applyNumberFormat="1" applyFont="1" applyFill="1" applyBorder="1" applyAlignment="1">
      <alignment horizontal="center"/>
      <protection/>
    </xf>
    <xf numFmtId="0" fontId="0" fillId="0" borderId="110" xfId="57" applyFont="1" applyFill="1" applyBorder="1">
      <alignment/>
      <protection/>
    </xf>
    <xf numFmtId="0" fontId="0" fillId="0" borderId="156" xfId="57" applyFont="1" applyFill="1" applyBorder="1">
      <alignment/>
      <protection/>
    </xf>
    <xf numFmtId="0" fontId="0" fillId="0" borderId="94" xfId="57" applyFont="1" applyFill="1" applyBorder="1">
      <alignment/>
      <protection/>
    </xf>
    <xf numFmtId="0" fontId="0" fillId="0" borderId="0" xfId="57" applyFont="1" applyFill="1">
      <alignment/>
      <protection/>
    </xf>
    <xf numFmtId="0" fontId="4" fillId="0" borderId="0" xfId="57" applyFont="1">
      <alignment/>
      <protection/>
    </xf>
    <xf numFmtId="0" fontId="2" fillId="31" borderId="59" xfId="57" applyFont="1" applyFill="1" applyBorder="1" applyAlignment="1">
      <alignment horizontal="center" vertical="center"/>
      <protection/>
    </xf>
    <xf numFmtId="0" fontId="2" fillId="31" borderId="63" xfId="57" applyFont="1" applyFill="1" applyBorder="1" applyAlignment="1">
      <alignment horizontal="center" vertical="center"/>
      <protection/>
    </xf>
    <xf numFmtId="0" fontId="4" fillId="0" borderId="157" xfId="57" applyFont="1" applyFill="1" applyBorder="1">
      <alignment/>
      <protection/>
    </xf>
    <xf numFmtId="0" fontId="4" fillId="0" borderId="116" xfId="57" applyFont="1" applyFill="1" applyBorder="1">
      <alignment/>
      <protection/>
    </xf>
    <xf numFmtId="0" fontId="4" fillId="0" borderId="92" xfId="57" applyFont="1" applyFill="1" applyBorder="1">
      <alignment/>
      <protection/>
    </xf>
    <xf numFmtId="0" fontId="38" fillId="0" borderId="0" xfId="57" applyFont="1">
      <alignment/>
      <protection/>
    </xf>
    <xf numFmtId="0" fontId="154" fillId="31" borderId="139" xfId="56" applyFont="1" applyFill="1" applyBorder="1" applyAlignment="1">
      <alignment horizontal="center"/>
      <protection/>
    </xf>
    <xf numFmtId="0" fontId="154" fillId="31" borderId="136" xfId="56" applyFont="1" applyFill="1" applyBorder="1">
      <alignment/>
      <protection/>
    </xf>
    <xf numFmtId="0" fontId="155" fillId="31" borderId="130" xfId="56" applyFont="1" applyFill="1" applyBorder="1" applyAlignment="1">
      <alignment horizontal="center"/>
      <protection/>
    </xf>
    <xf numFmtId="0" fontId="155" fillId="31" borderId="131" xfId="56" applyFont="1" applyFill="1" applyBorder="1" applyAlignment="1">
      <alignment horizontal="center"/>
      <protection/>
    </xf>
    <xf numFmtId="0" fontId="155" fillId="31" borderId="153" xfId="56" applyFont="1" applyFill="1" applyBorder="1" applyAlignment="1">
      <alignment horizontal="center"/>
      <protection/>
    </xf>
    <xf numFmtId="0" fontId="155" fillId="31" borderId="136" xfId="56" applyFont="1" applyFill="1" applyBorder="1" applyAlignment="1">
      <alignment horizontal="center"/>
      <protection/>
    </xf>
    <xf numFmtId="0" fontId="155" fillId="31" borderId="158" xfId="56" applyFont="1" applyFill="1" applyBorder="1" applyAlignment="1">
      <alignment horizontal="center"/>
      <protection/>
    </xf>
    <xf numFmtId="0" fontId="143" fillId="31" borderId="133" xfId="56" applyFont="1" applyFill="1" applyBorder="1" applyAlignment="1">
      <alignment horizontal="center"/>
      <protection/>
    </xf>
    <xf numFmtId="0" fontId="154" fillId="31" borderId="159" xfId="56" applyFont="1" applyFill="1" applyBorder="1" applyAlignment="1">
      <alignment horizontal="center"/>
      <protection/>
    </xf>
    <xf numFmtId="0" fontId="154" fillId="31" borderId="160" xfId="56" applyFont="1" applyFill="1" applyBorder="1">
      <alignment/>
      <protection/>
    </xf>
    <xf numFmtId="0" fontId="154" fillId="31" borderId="130" xfId="56" applyFont="1" applyFill="1" applyBorder="1" applyAlignment="1">
      <alignment horizontal="center"/>
      <protection/>
    </xf>
    <xf numFmtId="0" fontId="154" fillId="31" borderId="131" xfId="56" applyFont="1" applyFill="1" applyBorder="1" applyAlignment="1">
      <alignment horizontal="center"/>
      <protection/>
    </xf>
    <xf numFmtId="0" fontId="154" fillId="31" borderId="153" xfId="56" applyFont="1" applyFill="1" applyBorder="1" applyAlignment="1">
      <alignment horizontal="center"/>
      <protection/>
    </xf>
    <xf numFmtId="0" fontId="156" fillId="31" borderId="133" xfId="56" applyFont="1" applyFill="1" applyBorder="1" applyAlignment="1">
      <alignment horizontal="center"/>
      <protection/>
    </xf>
    <xf numFmtId="0" fontId="157" fillId="31" borderId="139" xfId="56" applyFont="1" applyFill="1" applyBorder="1" applyAlignment="1">
      <alignment horizontal="center"/>
      <protection/>
    </xf>
    <xf numFmtId="0" fontId="154" fillId="31" borderId="158" xfId="56" applyFont="1" applyFill="1" applyBorder="1">
      <alignment/>
      <protection/>
    </xf>
    <xf numFmtId="3" fontId="143" fillId="31" borderId="139" xfId="56" applyNumberFormat="1" applyFont="1" applyFill="1" applyBorder="1">
      <alignment/>
      <protection/>
    </xf>
    <xf numFmtId="0" fontId="2" fillId="31" borderId="42" xfId="56" applyFont="1" applyFill="1" applyBorder="1" applyAlignment="1">
      <alignment horizontal="right"/>
      <protection/>
    </xf>
    <xf numFmtId="0" fontId="2" fillId="31" borderId="42" xfId="56" applyFont="1" applyFill="1" applyBorder="1" applyAlignment="1">
      <alignment horizontal="center"/>
      <protection/>
    </xf>
    <xf numFmtId="0" fontId="2" fillId="31" borderId="10" xfId="56" applyFont="1" applyFill="1" applyBorder="1">
      <alignment/>
      <protection/>
    </xf>
    <xf numFmtId="0" fontId="2" fillId="31" borderId="10" xfId="56" applyFont="1" applyFill="1" applyBorder="1" applyAlignment="1">
      <alignment horizontal="center"/>
      <protection/>
    </xf>
    <xf numFmtId="212" fontId="4" fillId="29" borderId="68" xfId="57" applyNumberFormat="1" applyFont="1" applyFill="1" applyBorder="1">
      <alignment/>
      <protection/>
    </xf>
    <xf numFmtId="212" fontId="0" fillId="29" borderId="68" xfId="57" applyNumberFormat="1" applyFill="1" applyBorder="1">
      <alignment/>
      <protection/>
    </xf>
    <xf numFmtId="212" fontId="0" fillId="29" borderId="66" xfId="57" applyNumberFormat="1" applyFill="1" applyBorder="1">
      <alignment/>
      <protection/>
    </xf>
    <xf numFmtId="212" fontId="0" fillId="29" borderId="19" xfId="57" applyNumberFormat="1" applyFill="1" applyBorder="1">
      <alignment/>
      <protection/>
    </xf>
    <xf numFmtId="212" fontId="0" fillId="29" borderId="67" xfId="57" applyNumberFormat="1" applyFont="1" applyFill="1" applyBorder="1">
      <alignment/>
      <protection/>
    </xf>
    <xf numFmtId="0" fontId="143" fillId="31" borderId="41" xfId="0" applyFont="1" applyFill="1" applyBorder="1" applyAlignment="1">
      <alignment horizontal="center"/>
    </xf>
    <xf numFmtId="0" fontId="152" fillId="31" borderId="42" xfId="0" applyFont="1" applyFill="1" applyBorder="1" applyAlignment="1">
      <alignment horizontal="center"/>
    </xf>
    <xf numFmtId="0" fontId="152" fillId="31" borderId="43" xfId="0" applyFont="1" applyFill="1" applyBorder="1" applyAlignment="1">
      <alignment horizontal="center"/>
    </xf>
    <xf numFmtId="0" fontId="152" fillId="31" borderId="41" xfId="0" applyFont="1" applyFill="1" applyBorder="1" applyAlignment="1">
      <alignment horizontal="center"/>
    </xf>
    <xf numFmtId="0" fontId="152" fillId="31" borderId="134" xfId="0" applyFont="1" applyFill="1" applyBorder="1" applyAlignment="1">
      <alignment horizontal="center"/>
    </xf>
    <xf numFmtId="0" fontId="152" fillId="31" borderId="44" xfId="0" applyFont="1" applyFill="1" applyBorder="1" applyAlignment="1">
      <alignment horizontal="center"/>
    </xf>
    <xf numFmtId="0" fontId="152" fillId="31" borderId="45" xfId="0" applyFont="1" applyFill="1" applyBorder="1" applyAlignment="1">
      <alignment horizontal="center"/>
    </xf>
    <xf numFmtId="0" fontId="144" fillId="31" borderId="37" xfId="0" applyFont="1" applyFill="1" applyBorder="1" applyAlignment="1">
      <alignment horizontal="center"/>
    </xf>
    <xf numFmtId="202" fontId="143" fillId="31" borderId="62" xfId="0" applyNumberFormat="1" applyFont="1" applyFill="1" applyBorder="1" applyAlignment="1">
      <alignment/>
    </xf>
    <xf numFmtId="202" fontId="144" fillId="31" borderId="80" xfId="0" applyNumberFormat="1" applyFont="1" applyFill="1" applyBorder="1" applyAlignment="1">
      <alignment/>
    </xf>
    <xf numFmtId="202" fontId="144" fillId="31" borderId="59" xfId="0" applyNumberFormat="1" applyFont="1" applyFill="1" applyBorder="1" applyAlignment="1">
      <alignment/>
    </xf>
    <xf numFmtId="202" fontId="144" fillId="31" borderId="62" xfId="0" applyNumberFormat="1" applyFont="1" applyFill="1" applyBorder="1" applyAlignment="1">
      <alignment/>
    </xf>
    <xf numFmtId="202" fontId="144" fillId="31" borderId="161" xfId="0" applyNumberFormat="1" applyFont="1" applyFill="1" applyBorder="1" applyAlignment="1">
      <alignment/>
    </xf>
    <xf numFmtId="202" fontId="144" fillId="31" borderId="57" xfId="0" applyNumberFormat="1" applyFont="1" applyFill="1" applyBorder="1" applyAlignment="1">
      <alignment/>
    </xf>
    <xf numFmtId="202" fontId="144" fillId="31" borderId="63" xfId="0" applyNumberFormat="1" applyFont="1" applyFill="1" applyBorder="1" applyAlignment="1">
      <alignment/>
    </xf>
    <xf numFmtId="198" fontId="6" fillId="0" borderId="62" xfId="60" applyNumberFormat="1" applyFont="1" applyFill="1" applyBorder="1" applyAlignment="1">
      <alignment horizontal="center" vertical="center"/>
    </xf>
    <xf numFmtId="0" fontId="2" fillId="31" borderId="33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/>
    </xf>
    <xf numFmtId="4" fontId="0" fillId="0" borderId="66" xfId="0" applyNumberFormat="1" applyFont="1" applyFill="1" applyBorder="1" applyAlignment="1">
      <alignment/>
    </xf>
    <xf numFmtId="0" fontId="2" fillId="32" borderId="159" xfId="0" applyFont="1" applyFill="1" applyBorder="1" applyAlignment="1">
      <alignment/>
    </xf>
    <xf numFmtId="0" fontId="2" fillId="32" borderId="26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Continuous"/>
    </xf>
    <xf numFmtId="0" fontId="2" fillId="32" borderId="36" xfId="0" applyFont="1" applyFill="1" applyBorder="1" applyAlignment="1">
      <alignment horizontal="centerContinuous"/>
    </xf>
    <xf numFmtId="0" fontId="2" fillId="32" borderId="129" xfId="0" applyFont="1" applyFill="1" applyBorder="1" applyAlignment="1">
      <alignment horizontal="centerContinuous"/>
    </xf>
    <xf numFmtId="0" fontId="2" fillId="32" borderId="54" xfId="0" applyFont="1" applyFill="1" applyBorder="1" applyAlignment="1">
      <alignment horizontal="centerContinuous"/>
    </xf>
    <xf numFmtId="0" fontId="2" fillId="32" borderId="22" xfId="0" applyFont="1" applyFill="1" applyBorder="1" applyAlignment="1">
      <alignment horizontal="centerContinuous"/>
    </xf>
    <xf numFmtId="0" fontId="2" fillId="32" borderId="161" xfId="0" applyFont="1" applyFill="1" applyBorder="1" applyAlignment="1">
      <alignment/>
    </xf>
    <xf numFmtId="0" fontId="2" fillId="32" borderId="80" xfId="0" applyFont="1" applyFill="1" applyBorder="1" applyAlignment="1">
      <alignment horizontal="center"/>
    </xf>
    <xf numFmtId="0" fontId="2" fillId="32" borderId="57" xfId="0" applyFont="1" applyFill="1" applyBorder="1" applyAlignment="1">
      <alignment horizontal="center"/>
    </xf>
    <xf numFmtId="0" fontId="2" fillId="32" borderId="161" xfId="0" applyFont="1" applyFill="1" applyBorder="1" applyAlignment="1">
      <alignment horizontal="center"/>
    </xf>
    <xf numFmtId="0" fontId="2" fillId="32" borderId="162" xfId="0" applyFont="1" applyFill="1" applyBorder="1" applyAlignment="1">
      <alignment horizontal="center"/>
    </xf>
    <xf numFmtId="0" fontId="2" fillId="32" borderId="38" xfId="0" applyFont="1" applyFill="1" applyBorder="1" applyAlignment="1">
      <alignment horizontal="center"/>
    </xf>
    <xf numFmtId="0" fontId="2" fillId="32" borderId="62" xfId="0" applyFont="1" applyFill="1" applyBorder="1" applyAlignment="1">
      <alignment/>
    </xf>
    <xf numFmtId="0" fontId="2" fillId="32" borderId="36" xfId="0" applyFont="1" applyFill="1" applyBorder="1" applyAlignment="1">
      <alignment horizontal="center"/>
    </xf>
    <xf numFmtId="0" fontId="2" fillId="32" borderId="54" xfId="0" applyFont="1" applyFill="1" applyBorder="1" applyAlignment="1">
      <alignment horizontal="center"/>
    </xf>
    <xf numFmtId="202" fontId="0" fillId="0" borderId="68" xfId="0" applyNumberFormat="1" applyFill="1" applyBorder="1" applyAlignment="1">
      <alignment/>
    </xf>
    <xf numFmtId="202" fontId="0" fillId="0" borderId="19" xfId="0" applyNumberFormat="1" applyFill="1" applyBorder="1" applyAlignment="1">
      <alignment/>
    </xf>
    <xf numFmtId="202" fontId="0" fillId="0" borderId="67" xfId="0" applyNumberFormat="1" applyFill="1" applyBorder="1" applyAlignment="1">
      <alignment/>
    </xf>
    <xf numFmtId="201" fontId="0" fillId="0" borderId="19" xfId="0" applyNumberFormat="1" applyFill="1" applyBorder="1" applyAlignment="1">
      <alignment/>
    </xf>
    <xf numFmtId="0" fontId="0" fillId="0" borderId="0" xfId="0" applyAlignment="1" quotePrefix="1">
      <alignment horizontal="right"/>
    </xf>
    <xf numFmtId="0" fontId="0" fillId="0" borderId="51" xfId="0" applyFill="1" applyBorder="1" applyAlignment="1">
      <alignment horizontal="center" vertical="center"/>
    </xf>
    <xf numFmtId="202" fontId="0" fillId="0" borderId="33" xfId="0" applyNumberFormat="1" applyFill="1" applyBorder="1" applyAlignment="1">
      <alignment vertical="center"/>
    </xf>
    <xf numFmtId="9" fontId="16" fillId="0" borderId="155" xfId="60" applyFont="1" applyFill="1" applyBorder="1" applyAlignment="1">
      <alignment vertical="center"/>
    </xf>
    <xf numFmtId="9" fontId="16" fillId="0" borderId="31" xfId="60" applyFont="1" applyFill="1" applyBorder="1" applyAlignment="1">
      <alignment vertical="center"/>
    </xf>
    <xf numFmtId="9" fontId="16" fillId="0" borderId="98" xfId="60" applyFont="1" applyFill="1" applyBorder="1" applyAlignment="1">
      <alignment vertical="center"/>
    </xf>
    <xf numFmtId="0" fontId="2" fillId="31" borderId="39" xfId="0" applyFont="1" applyFill="1" applyBorder="1" applyAlignment="1">
      <alignment horizontal="center"/>
    </xf>
    <xf numFmtId="0" fontId="2" fillId="31" borderId="98" xfId="0" applyFont="1" applyFill="1" applyBorder="1" applyAlignment="1">
      <alignment horizontal="center"/>
    </xf>
    <xf numFmtId="202" fontId="7" fillId="0" borderId="31" xfId="0" applyNumberFormat="1" applyFont="1" applyFill="1" applyBorder="1" applyAlignment="1">
      <alignment/>
    </xf>
    <xf numFmtId="9" fontId="6" fillId="0" borderId="33" xfId="65" applyFont="1" applyFill="1" applyBorder="1" applyAlignment="1">
      <alignment horizontal="center"/>
    </xf>
    <xf numFmtId="202" fontId="7" fillId="0" borderId="34" xfId="0" applyNumberFormat="1" applyFont="1" applyFill="1" applyBorder="1" applyAlignment="1">
      <alignment/>
    </xf>
    <xf numFmtId="9" fontId="6" fillId="0" borderId="24" xfId="65" applyFont="1" applyFill="1" applyBorder="1" applyAlignment="1">
      <alignment horizontal="center"/>
    </xf>
    <xf numFmtId="0" fontId="0" fillId="0" borderId="163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4" fillId="0" borderId="68" xfId="0" applyFont="1" applyFill="1" applyBorder="1" applyAlignment="1">
      <alignment vertical="center"/>
    </xf>
    <xf numFmtId="9" fontId="0" fillId="0" borderId="13" xfId="60" applyNumberFormat="1" applyFont="1" applyFill="1" applyBorder="1" applyAlignment="1">
      <alignment horizontal="right" vertical="center"/>
    </xf>
    <xf numFmtId="0" fontId="32" fillId="29" borderId="17" xfId="56" applyFont="1" applyFill="1" applyBorder="1">
      <alignment/>
      <protection/>
    </xf>
    <xf numFmtId="0" fontId="32" fillId="29" borderId="36" xfId="56" applyFont="1" applyFill="1" applyBorder="1">
      <alignment/>
      <protection/>
    </xf>
    <xf numFmtId="0" fontId="32" fillId="29" borderId="36" xfId="56" applyFont="1" applyFill="1" applyBorder="1" applyAlignment="1">
      <alignment vertical="center" wrapText="1"/>
      <protection/>
    </xf>
    <xf numFmtId="0" fontId="0" fillId="29" borderId="10" xfId="56" applyFill="1" applyBorder="1">
      <alignment/>
      <protection/>
    </xf>
    <xf numFmtId="3" fontId="32" fillId="29" borderId="10" xfId="56" applyNumberFormat="1" applyFont="1" applyFill="1" applyBorder="1" applyAlignment="1" quotePrefix="1">
      <alignment horizontal="right"/>
      <protection/>
    </xf>
    <xf numFmtId="3" fontId="36" fillId="25" borderId="130" xfId="56" applyNumberFormat="1" applyFont="1" applyFill="1" applyBorder="1">
      <alignment/>
      <protection/>
    </xf>
    <xf numFmtId="0" fontId="0" fillId="29" borderId="0" xfId="0" applyFill="1" applyAlignment="1">
      <alignment/>
    </xf>
    <xf numFmtId="0" fontId="158" fillId="29" borderId="0" xfId="0" applyFont="1" applyFill="1" applyAlignment="1">
      <alignment/>
    </xf>
    <xf numFmtId="0" fontId="143" fillId="31" borderId="32" xfId="57" applyFont="1" applyFill="1" applyBorder="1" applyAlignment="1">
      <alignment horizontal="center"/>
      <protection/>
    </xf>
    <xf numFmtId="0" fontId="143" fillId="31" borderId="35" xfId="57" applyFont="1" applyFill="1" applyBorder="1" applyAlignment="1">
      <alignment horizontal="centerContinuous"/>
      <protection/>
    </xf>
    <xf numFmtId="0" fontId="143" fillId="31" borderId="117" xfId="57" applyFont="1" applyFill="1" applyBorder="1" applyAlignment="1">
      <alignment horizontal="centerContinuous"/>
      <protection/>
    </xf>
    <xf numFmtId="0" fontId="143" fillId="31" borderId="20" xfId="57" applyFont="1" applyFill="1" applyBorder="1" applyAlignment="1">
      <alignment horizontal="centerContinuous"/>
      <protection/>
    </xf>
    <xf numFmtId="0" fontId="144" fillId="31" borderId="117" xfId="57" applyFont="1" applyFill="1" applyBorder="1" applyAlignment="1">
      <alignment horizontal="centerContinuous"/>
      <protection/>
    </xf>
    <xf numFmtId="0" fontId="144" fillId="31" borderId="20" xfId="57" applyFont="1" applyFill="1" applyBorder="1" applyAlignment="1">
      <alignment horizontal="centerContinuous"/>
      <protection/>
    </xf>
    <xf numFmtId="0" fontId="144" fillId="31" borderId="128" xfId="57" applyFont="1" applyFill="1" applyBorder="1" applyAlignment="1">
      <alignment horizontal="centerContinuous"/>
      <protection/>
    </xf>
    <xf numFmtId="0" fontId="143" fillId="31" borderId="97" xfId="57" applyFont="1" applyFill="1" applyBorder="1" applyAlignment="1">
      <alignment horizontal="center"/>
      <protection/>
    </xf>
    <xf numFmtId="0" fontId="152" fillId="31" borderId="66" xfId="57" applyFont="1" applyFill="1" applyBorder="1" applyAlignment="1">
      <alignment horizontal="center"/>
      <protection/>
    </xf>
    <xf numFmtId="0" fontId="152" fillId="31" borderId="53" xfId="57" applyFont="1" applyFill="1" applyBorder="1" applyAlignment="1">
      <alignment horizontal="center"/>
      <protection/>
    </xf>
    <xf numFmtId="0" fontId="152" fillId="31" borderId="125" xfId="57" applyFont="1" applyFill="1" applyBorder="1" applyAlignment="1">
      <alignment horizontal="center"/>
      <protection/>
    </xf>
    <xf numFmtId="0" fontId="152" fillId="31" borderId="39" xfId="57" applyFont="1" applyFill="1" applyBorder="1" applyAlignment="1">
      <alignment horizontal="center"/>
      <protection/>
    </xf>
    <xf numFmtId="0" fontId="152" fillId="31" borderId="58" xfId="57" applyFont="1" applyFill="1" applyBorder="1" applyAlignment="1">
      <alignment horizontal="center"/>
      <protection/>
    </xf>
    <xf numFmtId="0" fontId="152" fillId="31" borderId="138" xfId="57" applyFont="1" applyFill="1" applyBorder="1" applyAlignment="1">
      <alignment horizontal="center"/>
      <protection/>
    </xf>
    <xf numFmtId="0" fontId="143" fillId="31" borderId="41" xfId="57" applyFont="1" applyFill="1" applyBorder="1" applyAlignment="1">
      <alignment horizontal="center"/>
      <protection/>
    </xf>
    <xf numFmtId="0" fontId="152" fillId="31" borderId="42" xfId="57" applyFont="1" applyFill="1" applyBorder="1" applyAlignment="1">
      <alignment horizontal="center"/>
      <protection/>
    </xf>
    <xf numFmtId="0" fontId="152" fillId="31" borderId="45" xfId="57" applyFont="1" applyFill="1" applyBorder="1" applyAlignment="1">
      <alignment horizontal="center"/>
      <protection/>
    </xf>
    <xf numFmtId="0" fontId="152" fillId="31" borderId="41" xfId="57" applyFont="1" applyFill="1" applyBorder="1" applyAlignment="1">
      <alignment horizontal="center"/>
      <protection/>
    </xf>
    <xf numFmtId="0" fontId="152" fillId="31" borderId="43" xfId="57" applyFont="1" applyFill="1" applyBorder="1" applyAlignment="1">
      <alignment horizontal="center"/>
      <protection/>
    </xf>
    <xf numFmtId="0" fontId="152" fillId="31" borderId="44" xfId="57" applyFont="1" applyFill="1" applyBorder="1" applyAlignment="1">
      <alignment horizontal="center"/>
      <protection/>
    </xf>
    <xf numFmtId="0" fontId="144" fillId="31" borderId="37" xfId="57" applyFont="1" applyFill="1" applyBorder="1" applyAlignment="1">
      <alignment horizontal="center"/>
      <protection/>
    </xf>
    <xf numFmtId="202" fontId="143" fillId="31" borderId="62" xfId="57" applyNumberFormat="1" applyFont="1" applyFill="1" applyBorder="1">
      <alignment/>
      <protection/>
    </xf>
    <xf numFmtId="202" fontId="144" fillId="31" borderId="80" xfId="57" applyNumberFormat="1" applyFont="1" applyFill="1" applyBorder="1">
      <alignment/>
      <protection/>
    </xf>
    <xf numFmtId="202" fontId="144" fillId="31" borderId="63" xfId="57" applyNumberFormat="1" applyFont="1" applyFill="1" applyBorder="1">
      <alignment/>
      <protection/>
    </xf>
    <xf numFmtId="202" fontId="144" fillId="31" borderId="62" xfId="57" applyNumberFormat="1" applyFont="1" applyFill="1" applyBorder="1">
      <alignment/>
      <protection/>
    </xf>
    <xf numFmtId="202" fontId="144" fillId="31" borderId="59" xfId="57" applyNumberFormat="1" applyFont="1" applyFill="1" applyBorder="1">
      <alignment/>
      <protection/>
    </xf>
    <xf numFmtId="202" fontId="144" fillId="31" borderId="57" xfId="57" applyNumberFormat="1" applyFont="1" applyFill="1" applyBorder="1">
      <alignment/>
      <protection/>
    </xf>
    <xf numFmtId="0" fontId="9" fillId="0" borderId="0" xfId="56" applyFont="1">
      <alignment/>
      <protection/>
    </xf>
    <xf numFmtId="0" fontId="10" fillId="0" borderId="0" xfId="57" applyFont="1" applyAlignment="1">
      <alignment horizontal="center"/>
      <protection/>
    </xf>
    <xf numFmtId="0" fontId="13" fillId="0" borderId="0" xfId="0" applyFont="1" applyAlignment="1">
      <alignment/>
    </xf>
    <xf numFmtId="0" fontId="2" fillId="32" borderId="35" xfId="0" applyFont="1" applyFill="1" applyBorder="1" applyAlignment="1">
      <alignment horizontal="center"/>
    </xf>
    <xf numFmtId="0" fontId="2" fillId="32" borderId="117" xfId="0" applyFont="1" applyFill="1" applyBorder="1" applyAlignment="1">
      <alignment horizontal="center"/>
    </xf>
    <xf numFmtId="0" fontId="2" fillId="32" borderId="61" xfId="0" applyFont="1" applyFill="1" applyBorder="1" applyAlignment="1">
      <alignment horizontal="center"/>
    </xf>
    <xf numFmtId="0" fontId="4" fillId="0" borderId="36" xfId="57" applyFont="1" applyBorder="1" applyAlignment="1">
      <alignment horizontal="center"/>
      <protection/>
    </xf>
    <xf numFmtId="0" fontId="4" fillId="0" borderId="85" xfId="57" applyFont="1" applyBorder="1" applyAlignment="1">
      <alignment horizontal="center"/>
      <protection/>
    </xf>
    <xf numFmtId="0" fontId="4" fillId="0" borderId="22" xfId="57" applyFont="1" applyBorder="1" applyAlignment="1">
      <alignment horizontal="center"/>
      <protection/>
    </xf>
    <xf numFmtId="0" fontId="143" fillId="31" borderId="40" xfId="57" applyFont="1" applyFill="1" applyBorder="1" applyAlignment="1">
      <alignment horizontal="center"/>
      <protection/>
    </xf>
    <xf numFmtId="0" fontId="143" fillId="31" borderId="29" xfId="57" applyFont="1" applyFill="1" applyBorder="1" applyAlignment="1">
      <alignment horizontal="center"/>
      <protection/>
    </xf>
    <xf numFmtId="0" fontId="143" fillId="31" borderId="41" xfId="57" applyFont="1" applyFill="1" applyBorder="1" applyAlignment="1">
      <alignment horizontal="center"/>
      <protection/>
    </xf>
    <xf numFmtId="0" fontId="143" fillId="31" borderId="43" xfId="57" applyFont="1" applyFill="1" applyBorder="1" applyAlignment="1">
      <alignment horizontal="center"/>
      <protection/>
    </xf>
    <xf numFmtId="0" fontId="143" fillId="31" borderId="45" xfId="57" applyFont="1" applyFill="1" applyBorder="1" applyAlignment="1">
      <alignment horizontal="center"/>
      <protection/>
    </xf>
    <xf numFmtId="0" fontId="143" fillId="31" borderId="44" xfId="57" applyFont="1" applyFill="1" applyBorder="1" applyAlignment="1">
      <alignment horizontal="center"/>
      <protection/>
    </xf>
    <xf numFmtId="0" fontId="9" fillId="0" borderId="0" xfId="0" applyFont="1" applyAlignment="1">
      <alignment horizontal="left"/>
    </xf>
    <xf numFmtId="0" fontId="2" fillId="31" borderId="40" xfId="0" applyFont="1" applyFill="1" applyBorder="1" applyAlignment="1">
      <alignment horizontal="center"/>
    </xf>
    <xf numFmtId="0" fontId="2" fillId="31" borderId="29" xfId="0" applyFont="1" applyFill="1" applyBorder="1" applyAlignment="1">
      <alignment horizontal="center"/>
    </xf>
    <xf numFmtId="0" fontId="2" fillId="31" borderId="41" xfId="0" applyFont="1" applyFill="1" applyBorder="1" applyAlignment="1">
      <alignment horizontal="center"/>
    </xf>
    <xf numFmtId="0" fontId="2" fillId="31" borderId="43" xfId="0" applyFont="1" applyFill="1" applyBorder="1" applyAlignment="1">
      <alignment horizontal="center"/>
    </xf>
    <xf numFmtId="0" fontId="2" fillId="31" borderId="44" xfId="0" applyFont="1" applyFill="1" applyBorder="1" applyAlignment="1">
      <alignment horizontal="center"/>
    </xf>
    <xf numFmtId="0" fontId="2" fillId="31" borderId="45" xfId="0" applyFont="1" applyFill="1" applyBorder="1" applyAlignment="1">
      <alignment horizontal="center"/>
    </xf>
    <xf numFmtId="0" fontId="143" fillId="31" borderId="40" xfId="0" applyFont="1" applyFill="1" applyBorder="1" applyAlignment="1">
      <alignment horizontal="center"/>
    </xf>
    <xf numFmtId="0" fontId="143" fillId="31" borderId="29" xfId="0" applyFont="1" applyFill="1" applyBorder="1" applyAlignment="1">
      <alignment horizontal="center"/>
    </xf>
    <xf numFmtId="0" fontId="143" fillId="31" borderId="41" xfId="0" applyFont="1" applyFill="1" applyBorder="1" applyAlignment="1">
      <alignment horizontal="center"/>
    </xf>
    <xf numFmtId="0" fontId="143" fillId="31" borderId="43" xfId="0" applyFont="1" applyFill="1" applyBorder="1" applyAlignment="1">
      <alignment horizontal="center"/>
    </xf>
    <xf numFmtId="0" fontId="143" fillId="31" borderId="44" xfId="0" applyFont="1" applyFill="1" applyBorder="1" applyAlignment="1">
      <alignment horizontal="center"/>
    </xf>
    <xf numFmtId="0" fontId="143" fillId="31" borderId="45" xfId="0" applyFont="1" applyFill="1" applyBorder="1" applyAlignment="1">
      <alignment horizontal="center"/>
    </xf>
    <xf numFmtId="0" fontId="2" fillId="31" borderId="33" xfId="0" applyFont="1" applyFill="1" applyBorder="1" applyAlignment="1">
      <alignment horizontal="center" vertical="center" wrapText="1"/>
    </xf>
    <xf numFmtId="0" fontId="2" fillId="31" borderId="39" xfId="0" applyFont="1" applyFill="1" applyBorder="1" applyAlignment="1">
      <alignment horizontal="center" vertical="center" wrapText="1"/>
    </xf>
    <xf numFmtId="0" fontId="2" fillId="31" borderId="34" xfId="0" applyFont="1" applyFill="1" applyBorder="1" applyAlignment="1">
      <alignment horizontal="center" vertical="center"/>
    </xf>
    <xf numFmtId="0" fontId="0" fillId="31" borderId="51" xfId="0" applyFill="1" applyBorder="1" applyAlignment="1">
      <alignment horizontal="center" vertical="center"/>
    </xf>
    <xf numFmtId="0" fontId="2" fillId="31" borderId="32" xfId="0" applyFont="1" applyFill="1" applyBorder="1" applyAlignment="1">
      <alignment horizontal="center" vertical="center"/>
    </xf>
    <xf numFmtId="0" fontId="2" fillId="31" borderId="33" xfId="0" applyFont="1" applyFill="1" applyBorder="1" applyAlignment="1">
      <alignment horizontal="center" vertical="center"/>
    </xf>
    <xf numFmtId="0" fontId="2" fillId="31" borderId="97" xfId="0" applyFont="1" applyFill="1" applyBorder="1" applyAlignment="1">
      <alignment horizontal="center" vertical="center"/>
    </xf>
    <xf numFmtId="0" fontId="2" fillId="31" borderId="39" xfId="0" applyFont="1" applyFill="1" applyBorder="1" applyAlignment="1">
      <alignment horizontal="center" vertical="center"/>
    </xf>
    <xf numFmtId="0" fontId="2" fillId="31" borderId="155" xfId="0" applyFont="1" applyFill="1" applyBorder="1" applyAlignment="1">
      <alignment horizontal="center" vertical="center"/>
    </xf>
    <xf numFmtId="0" fontId="2" fillId="31" borderId="98" xfId="0" applyFont="1" applyFill="1" applyBorder="1" applyAlignment="1">
      <alignment horizontal="center" vertical="center"/>
    </xf>
    <xf numFmtId="0" fontId="21" fillId="31" borderId="164" xfId="0" applyFont="1" applyFill="1" applyBorder="1" applyAlignment="1">
      <alignment horizontal="center"/>
    </xf>
    <xf numFmtId="0" fontId="21" fillId="31" borderId="153" xfId="0" applyFont="1" applyFill="1" applyBorder="1" applyAlignment="1">
      <alignment horizontal="center"/>
    </xf>
    <xf numFmtId="0" fontId="21" fillId="31" borderId="158" xfId="0" applyFont="1" applyFill="1" applyBorder="1" applyAlignment="1">
      <alignment horizontal="center"/>
    </xf>
    <xf numFmtId="0" fontId="2" fillId="31" borderId="28" xfId="0" applyFont="1" applyFill="1" applyBorder="1" applyAlignment="1">
      <alignment horizontal="center" vertical="center"/>
    </xf>
    <xf numFmtId="0" fontId="2" fillId="31" borderId="97" xfId="0" applyFont="1" applyFill="1" applyBorder="1" applyAlignment="1">
      <alignment horizontal="center" vertical="center"/>
    </xf>
    <xf numFmtId="0" fontId="2" fillId="31" borderId="115" xfId="0" applyFont="1" applyFill="1" applyBorder="1" applyAlignment="1">
      <alignment horizontal="center" vertical="center"/>
    </xf>
    <xf numFmtId="0" fontId="2" fillId="31" borderId="19" xfId="0" applyFont="1" applyFill="1" applyBorder="1" applyAlignment="1">
      <alignment horizontal="center" vertical="center"/>
    </xf>
    <xf numFmtId="0" fontId="2" fillId="31" borderId="0" xfId="0" applyFont="1" applyFill="1" applyBorder="1" applyAlignment="1">
      <alignment horizontal="center" vertical="center" wrapText="1"/>
    </xf>
    <xf numFmtId="0" fontId="2" fillId="31" borderId="39" xfId="0" applyFont="1" applyFill="1" applyBorder="1" applyAlignment="1">
      <alignment horizontal="center" vertical="center" wrapText="1"/>
    </xf>
    <xf numFmtId="0" fontId="2" fillId="31" borderId="29" xfId="0" applyFont="1" applyFill="1" applyBorder="1" applyAlignment="1">
      <alignment horizontal="center" vertical="center" wrapText="1"/>
    </xf>
    <xf numFmtId="0" fontId="3" fillId="31" borderId="51" xfId="0" applyFont="1" applyFill="1" applyBorder="1" applyAlignment="1">
      <alignment/>
    </xf>
    <xf numFmtId="0" fontId="155" fillId="31" borderId="164" xfId="0" applyFont="1" applyFill="1" applyBorder="1" applyAlignment="1">
      <alignment horizontal="center"/>
    </xf>
    <xf numFmtId="0" fontId="155" fillId="31" borderId="153" xfId="0" applyFont="1" applyFill="1" applyBorder="1" applyAlignment="1">
      <alignment horizontal="center"/>
    </xf>
    <xf numFmtId="0" fontId="155" fillId="31" borderId="158" xfId="0" applyFont="1" applyFill="1" applyBorder="1" applyAlignment="1">
      <alignment horizontal="center"/>
    </xf>
    <xf numFmtId="0" fontId="143" fillId="31" borderId="28" xfId="0" applyFont="1" applyFill="1" applyBorder="1" applyAlignment="1">
      <alignment horizontal="center" vertical="center"/>
    </xf>
    <xf numFmtId="0" fontId="143" fillId="31" borderId="97" xfId="0" applyFont="1" applyFill="1" applyBorder="1" applyAlignment="1">
      <alignment horizontal="center" vertical="center"/>
    </xf>
    <xf numFmtId="0" fontId="143" fillId="31" borderId="115" xfId="0" applyFont="1" applyFill="1" applyBorder="1" applyAlignment="1">
      <alignment horizontal="center" vertical="center"/>
    </xf>
    <xf numFmtId="0" fontId="143" fillId="31" borderId="19" xfId="0" applyFont="1" applyFill="1" applyBorder="1" applyAlignment="1">
      <alignment horizontal="center" vertical="center"/>
    </xf>
    <xf numFmtId="0" fontId="143" fillId="31" borderId="0" xfId="0" applyFont="1" applyFill="1" applyBorder="1" applyAlignment="1">
      <alignment horizontal="center" vertical="center" wrapText="1"/>
    </xf>
    <xf numFmtId="0" fontId="143" fillId="31" borderId="39" xfId="0" applyFont="1" applyFill="1" applyBorder="1" applyAlignment="1">
      <alignment horizontal="center" vertical="center" wrapText="1"/>
    </xf>
    <xf numFmtId="0" fontId="143" fillId="31" borderId="29" xfId="0" applyFont="1" applyFill="1" applyBorder="1" applyAlignment="1">
      <alignment horizontal="center" vertical="center" wrapText="1"/>
    </xf>
    <xf numFmtId="0" fontId="144" fillId="31" borderId="51" xfId="0" applyFont="1" applyFill="1" applyBorder="1" applyAlignment="1">
      <alignment/>
    </xf>
    <xf numFmtId="0" fontId="0" fillId="31" borderId="33" xfId="0" applyFill="1" applyBorder="1" applyAlignment="1">
      <alignment horizontal="center"/>
    </xf>
    <xf numFmtId="0" fontId="0" fillId="31" borderId="155" xfId="0" applyFill="1" applyBorder="1" applyAlignment="1">
      <alignment horizontal="center"/>
    </xf>
    <xf numFmtId="0" fontId="16" fillId="0" borderId="62" xfId="0" applyFont="1" applyFill="1" applyBorder="1" applyAlignment="1">
      <alignment vertical="center"/>
    </xf>
    <xf numFmtId="0" fontId="16" fillId="0" borderId="63" xfId="0" applyFont="1" applyFill="1" applyBorder="1" applyAlignment="1">
      <alignment vertical="center"/>
    </xf>
    <xf numFmtId="0" fontId="16" fillId="0" borderId="65" xfId="0" applyFont="1" applyFill="1" applyBorder="1" applyAlignment="1">
      <alignment vertical="center"/>
    </xf>
    <xf numFmtId="0" fontId="16" fillId="0" borderId="64" xfId="0" applyFont="1" applyFill="1" applyBorder="1" applyAlignment="1">
      <alignment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0" fontId="16" fillId="0" borderId="55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7" fillId="31" borderId="32" xfId="0" applyFont="1" applyFill="1" applyBorder="1" applyAlignment="1">
      <alignment horizontal="center" vertical="center" wrapText="1"/>
    </xf>
    <xf numFmtId="0" fontId="17" fillId="31" borderId="155" xfId="0" applyFont="1" applyFill="1" applyBorder="1" applyAlignment="1">
      <alignment horizontal="center" vertical="center" wrapText="1"/>
    </xf>
    <xf numFmtId="0" fontId="2" fillId="31" borderId="62" xfId="0" applyFont="1" applyFill="1" applyBorder="1" applyAlignment="1">
      <alignment horizontal="center" vertical="center"/>
    </xf>
    <xf numFmtId="0" fontId="2" fillId="31" borderId="63" xfId="0" applyFont="1" applyFill="1" applyBorder="1" applyAlignment="1">
      <alignment horizontal="center" vertical="center"/>
    </xf>
    <xf numFmtId="3" fontId="2" fillId="31" borderId="59" xfId="0" applyNumberFormat="1" applyFont="1" applyFill="1" applyBorder="1" applyAlignment="1">
      <alignment horizontal="center" vertical="center"/>
    </xf>
    <xf numFmtId="3" fontId="2" fillId="31" borderId="32" xfId="0" applyNumberFormat="1" applyFont="1" applyFill="1" applyBorder="1" applyAlignment="1">
      <alignment horizontal="center" vertical="center" wrapText="1"/>
    </xf>
    <xf numFmtId="3" fontId="2" fillId="31" borderId="62" xfId="0" applyNumberFormat="1" applyFont="1" applyFill="1" applyBorder="1" applyAlignment="1">
      <alignment horizontal="center" vertical="center" wrapText="1"/>
    </xf>
    <xf numFmtId="3" fontId="0" fillId="0" borderId="72" xfId="0" applyNumberFormat="1" applyFill="1" applyBorder="1" applyAlignment="1">
      <alignment horizontal="center" vertical="center"/>
    </xf>
    <xf numFmtId="3" fontId="0" fillId="0" borderId="75" xfId="0" applyNumberFormat="1" applyFill="1" applyBorder="1" applyAlignment="1">
      <alignment horizontal="center" vertical="center"/>
    </xf>
    <xf numFmtId="0" fontId="4" fillId="31" borderId="33" xfId="0" applyFont="1" applyFill="1" applyBorder="1" applyAlignment="1">
      <alignment vertical="center"/>
    </xf>
    <xf numFmtId="0" fontId="4" fillId="31" borderId="62" xfId="0" applyFont="1" applyFill="1" applyBorder="1" applyAlignment="1">
      <alignment vertical="center"/>
    </xf>
    <xf numFmtId="0" fontId="4" fillId="31" borderId="59" xfId="0" applyFont="1" applyFill="1" applyBorder="1" applyAlignment="1">
      <alignment vertical="center"/>
    </xf>
    <xf numFmtId="0" fontId="2" fillId="31" borderId="32" xfId="0" applyFont="1" applyFill="1" applyBorder="1" applyAlignment="1">
      <alignment horizontal="center" vertical="center" wrapText="1"/>
    </xf>
    <xf numFmtId="0" fontId="2" fillId="31" borderId="155" xfId="0" applyFont="1" applyFill="1" applyBorder="1" applyAlignment="1">
      <alignment horizontal="center" vertical="center" wrapText="1"/>
    </xf>
    <xf numFmtId="0" fontId="2" fillId="31" borderId="62" xfId="0" applyFont="1" applyFill="1" applyBorder="1" applyAlignment="1">
      <alignment horizontal="center" vertical="center" wrapText="1"/>
    </xf>
    <xf numFmtId="0" fontId="2" fillId="31" borderId="63" xfId="0" applyFont="1" applyFill="1" applyBorder="1" applyAlignment="1">
      <alignment horizontal="center" vertical="center" wrapText="1"/>
    </xf>
    <xf numFmtId="3" fontId="0" fillId="0" borderId="48" xfId="0" applyNumberFormat="1" applyFill="1" applyBorder="1" applyAlignment="1">
      <alignment horizontal="center" vertical="center"/>
    </xf>
    <xf numFmtId="3" fontId="0" fillId="0" borderId="49" xfId="0" applyNumberFormat="1" applyFill="1" applyBorder="1" applyAlignment="1">
      <alignment horizontal="center" vertical="center"/>
    </xf>
    <xf numFmtId="202" fontId="0" fillId="0" borderId="66" xfId="57" applyNumberFormat="1" applyFont="1" applyFill="1" applyBorder="1" applyAlignment="1">
      <alignment horizontal="center" vertical="center"/>
      <protection/>
    </xf>
    <xf numFmtId="202" fontId="0" fillId="0" borderId="98" xfId="57" applyNumberFormat="1" applyFont="1" applyFill="1" applyBorder="1" applyAlignment="1">
      <alignment horizontal="center" vertical="center"/>
      <protection/>
    </xf>
    <xf numFmtId="0" fontId="2" fillId="31" borderId="159" xfId="57" applyFont="1" applyFill="1" applyBorder="1" applyAlignment="1">
      <alignment horizontal="center" vertical="center"/>
      <protection/>
    </xf>
    <xf numFmtId="0" fontId="2" fillId="31" borderId="161" xfId="57" applyFont="1" applyFill="1" applyBorder="1" applyAlignment="1">
      <alignment horizontal="center" vertical="center"/>
      <protection/>
    </xf>
    <xf numFmtId="0" fontId="2" fillId="31" borderId="35" xfId="57" applyFont="1" applyFill="1" applyBorder="1" applyAlignment="1">
      <alignment horizontal="center" vertical="center"/>
      <protection/>
    </xf>
    <xf numFmtId="0" fontId="2" fillId="31" borderId="117" xfId="57" applyFont="1" applyFill="1" applyBorder="1" applyAlignment="1">
      <alignment horizontal="center" vertical="center"/>
      <protection/>
    </xf>
    <xf numFmtId="0" fontId="2" fillId="31" borderId="61" xfId="57" applyFont="1" applyFill="1" applyBorder="1" applyAlignment="1">
      <alignment horizontal="center" vertical="center"/>
      <protection/>
    </xf>
    <xf numFmtId="0" fontId="2" fillId="31" borderId="33" xfId="57" applyFont="1" applyFill="1" applyBorder="1" applyAlignment="1">
      <alignment horizontal="center" vertical="center" wrapText="1"/>
      <protection/>
    </xf>
    <xf numFmtId="0" fontId="2" fillId="31" borderId="155" xfId="57" applyFont="1" applyFill="1" applyBorder="1" applyAlignment="1">
      <alignment horizontal="center" vertical="center" wrapText="1"/>
      <protection/>
    </xf>
    <xf numFmtId="201" fontId="0" fillId="0" borderId="121" xfId="57" applyNumberFormat="1" applyFont="1" applyFill="1" applyBorder="1" applyAlignment="1">
      <alignment horizontal="center"/>
      <protection/>
    </xf>
    <xf numFmtId="201" fontId="0" fillId="0" borderId="31" xfId="57" applyNumberFormat="1" applyFont="1" applyFill="1" applyBorder="1" applyAlignment="1">
      <alignment horizontal="center"/>
      <protection/>
    </xf>
    <xf numFmtId="3" fontId="0" fillId="0" borderId="39" xfId="57" applyNumberFormat="1" applyFont="1" applyFill="1" applyBorder="1" applyAlignment="1">
      <alignment horizontal="center" vertical="center"/>
      <protection/>
    </xf>
    <xf numFmtId="3" fontId="0" fillId="0" borderId="68" xfId="57" applyNumberFormat="1" applyFont="1" applyFill="1" applyBorder="1" applyAlignment="1">
      <alignment horizontal="center" vertical="center"/>
      <protection/>
    </xf>
    <xf numFmtId="201" fontId="4" fillId="0" borderId="165" xfId="57" applyNumberFormat="1" applyFont="1" applyFill="1" applyBorder="1" applyAlignment="1">
      <alignment horizontal="center"/>
      <protection/>
    </xf>
    <xf numFmtId="201" fontId="4" fillId="0" borderId="98" xfId="57" applyNumberFormat="1" applyFont="1" applyFill="1" applyBorder="1" applyAlignment="1">
      <alignment horizontal="center"/>
      <protection/>
    </xf>
    <xf numFmtId="3" fontId="0" fillId="0" borderId="121" xfId="57" applyNumberFormat="1" applyFont="1" applyFill="1" applyBorder="1" applyAlignment="1">
      <alignment horizontal="center" vertical="center"/>
      <protection/>
    </xf>
    <xf numFmtId="3" fontId="0" fillId="0" borderId="60" xfId="57" applyNumberFormat="1" applyFont="1" applyFill="1" applyBorder="1" applyAlignment="1">
      <alignment horizontal="center" vertical="center"/>
      <protection/>
    </xf>
    <xf numFmtId="202" fontId="0" fillId="0" borderId="17" xfId="57" applyNumberFormat="1" applyFont="1" applyFill="1" applyBorder="1" applyAlignment="1">
      <alignment horizontal="center" vertical="center"/>
      <protection/>
    </xf>
    <xf numFmtId="202" fontId="0" fillId="0" borderId="31" xfId="57" applyNumberFormat="1" applyFont="1" applyFill="1" applyBorder="1" applyAlignment="1">
      <alignment horizontal="center" vertical="center"/>
      <protection/>
    </xf>
    <xf numFmtId="0" fontId="10" fillId="0" borderId="0" xfId="57" applyFont="1" applyAlignment="1">
      <alignment horizontal="left"/>
      <protection/>
    </xf>
    <xf numFmtId="0" fontId="158" fillId="0" borderId="0" xfId="56" applyFont="1" applyAlignment="1">
      <alignment horizontal="left"/>
      <protection/>
    </xf>
    <xf numFmtId="0" fontId="36" fillId="0" borderId="139" xfId="56" applyFont="1" applyFill="1" applyBorder="1" applyAlignment="1">
      <alignment horizontal="center"/>
      <protection/>
    </xf>
    <xf numFmtId="0" fontId="36" fillId="0" borderId="136" xfId="56" applyFont="1" applyFill="1" applyBorder="1" applyAlignment="1">
      <alignment horizontal="center"/>
      <protection/>
    </xf>
    <xf numFmtId="0" fontId="36" fillId="29" borderId="139" xfId="56" applyFont="1" applyFill="1" applyBorder="1" applyAlignment="1">
      <alignment horizontal="center"/>
      <protection/>
    </xf>
    <xf numFmtId="0" fontId="36" fillId="29" borderId="136" xfId="56" applyFont="1" applyFill="1" applyBorder="1" applyAlignment="1">
      <alignment horizontal="center"/>
      <protection/>
    </xf>
    <xf numFmtId="0" fontId="36" fillId="0" borderId="27" xfId="56" applyFont="1" applyFill="1" applyBorder="1" applyAlignment="1">
      <alignment horizontal="center"/>
      <protection/>
    </xf>
    <xf numFmtId="0" fontId="36" fillId="0" borderId="67" xfId="56" applyFont="1" applyFill="1" applyBorder="1" applyAlignment="1">
      <alignment horizontal="center"/>
      <protection/>
    </xf>
    <xf numFmtId="0" fontId="36" fillId="25" borderId="27" xfId="56" applyFont="1" applyFill="1" applyBorder="1" applyAlignment="1">
      <alignment horizontal="center"/>
      <protection/>
    </xf>
    <xf numFmtId="0" fontId="36" fillId="25" borderId="19" xfId="56" applyFont="1" applyFill="1" applyBorder="1" applyAlignment="1">
      <alignment horizontal="center"/>
      <protection/>
    </xf>
    <xf numFmtId="0" fontId="36" fillId="25" borderId="139" xfId="56" applyFont="1" applyFill="1" applyBorder="1" applyAlignment="1">
      <alignment horizontal="center"/>
      <protection/>
    </xf>
    <xf numFmtId="0" fontId="36" fillId="25" borderId="131" xfId="56" applyFont="1" applyFill="1" applyBorder="1" applyAlignment="1">
      <alignment horizontal="center"/>
      <protection/>
    </xf>
    <xf numFmtId="0" fontId="9" fillId="0" borderId="0" xfId="56" applyFont="1" applyAlignment="1">
      <alignment horizontal="left"/>
      <protection/>
    </xf>
    <xf numFmtId="0" fontId="33" fillId="25" borderId="139" xfId="56" applyFont="1" applyFill="1" applyBorder="1" applyAlignment="1">
      <alignment horizontal="center"/>
      <protection/>
    </xf>
    <xf numFmtId="0" fontId="33" fillId="25" borderId="131" xfId="56" applyFont="1" applyFill="1" applyBorder="1" applyAlignment="1">
      <alignment horizontal="center"/>
      <protection/>
    </xf>
    <xf numFmtId="0" fontId="10" fillId="0" borderId="0" xfId="56" applyFont="1" applyAlignment="1">
      <alignment horizontal="left"/>
      <protection/>
    </xf>
    <xf numFmtId="0" fontId="2" fillId="31" borderId="42" xfId="56" applyFont="1" applyFill="1" applyBorder="1" applyAlignment="1">
      <alignment horizontal="center" vertical="center" wrapText="1"/>
      <protection/>
    </xf>
    <xf numFmtId="0" fontId="2" fillId="31" borderId="80" xfId="56" applyFont="1" applyFill="1" applyBorder="1" applyAlignment="1">
      <alignment horizontal="center" vertical="center" wrapText="1"/>
      <protection/>
    </xf>
    <xf numFmtId="0" fontId="148" fillId="0" borderId="0" xfId="56" applyFont="1" applyAlignment="1">
      <alignment horizontal="center"/>
      <protection/>
    </xf>
    <xf numFmtId="0" fontId="1" fillId="0" borderId="0" xfId="56" applyFont="1" applyBorder="1" applyAlignment="1">
      <alignment horizontal="left"/>
      <protection/>
    </xf>
    <xf numFmtId="0" fontId="143" fillId="30" borderId="80" xfId="56" applyFont="1" applyFill="1" applyBorder="1" applyAlignment="1">
      <alignment horizontal="center" vertical="center"/>
      <protection/>
    </xf>
    <xf numFmtId="0" fontId="143" fillId="30" borderId="10" xfId="56" applyFont="1" applyFill="1" applyBorder="1" applyAlignment="1">
      <alignment horizontal="center" vertical="center"/>
      <protection/>
    </xf>
    <xf numFmtId="0" fontId="143" fillId="30" borderId="53" xfId="56" applyFont="1" applyFill="1" applyBorder="1" applyAlignment="1">
      <alignment horizontal="center" vertical="center"/>
      <protection/>
    </xf>
    <xf numFmtId="0" fontId="143" fillId="30" borderId="42" xfId="56" applyFont="1" applyFill="1" applyBorder="1" applyAlignment="1">
      <alignment horizontal="center" vertical="center"/>
      <protection/>
    </xf>
    <xf numFmtId="0" fontId="143" fillId="30" borderId="18" xfId="56" applyFont="1" applyFill="1" applyBorder="1" applyAlignment="1">
      <alignment horizontal="center" vertical="center"/>
      <protection/>
    </xf>
    <xf numFmtId="0" fontId="6" fillId="29" borderId="42" xfId="56" applyFont="1" applyFill="1" applyBorder="1" applyAlignment="1">
      <alignment horizontal="center" vertical="center"/>
      <protection/>
    </xf>
    <xf numFmtId="0" fontId="0" fillId="29" borderId="80" xfId="56" applyFill="1" applyBorder="1" applyAlignment="1">
      <alignment horizontal="center" vertical="center"/>
      <protection/>
    </xf>
    <xf numFmtId="0" fontId="4" fillId="29" borderId="44" xfId="56" applyFont="1" applyFill="1" applyBorder="1" applyAlignment="1">
      <alignment horizontal="center"/>
      <protection/>
    </xf>
    <xf numFmtId="0" fontId="4" fillId="29" borderId="90" xfId="56" applyFont="1" applyFill="1" applyBorder="1" applyAlignment="1">
      <alignment horizontal="center"/>
      <protection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09" fillId="31" borderId="41" xfId="0" applyFont="1" applyFill="1" applyBorder="1" applyAlignment="1">
      <alignment horizontal="center"/>
    </xf>
    <xf numFmtId="0" fontId="109" fillId="31" borderId="55" xfId="0" applyFont="1" applyFill="1" applyBorder="1" applyAlignment="1">
      <alignment horizontal="center"/>
    </xf>
    <xf numFmtId="0" fontId="109" fillId="31" borderId="85" xfId="0" applyFont="1" applyFill="1" applyBorder="1" applyAlignment="1">
      <alignment horizontal="center"/>
    </xf>
    <xf numFmtId="0" fontId="109" fillId="31" borderId="28" xfId="0" applyFont="1" applyFill="1" applyBorder="1" applyAlignment="1">
      <alignment horizontal="center"/>
    </xf>
    <xf numFmtId="0" fontId="48" fillId="33" borderId="55" xfId="0" applyFont="1" applyFill="1" applyBorder="1" applyAlignment="1">
      <alignment horizontal="center"/>
    </xf>
    <xf numFmtId="0" fontId="48" fillId="33" borderId="85" xfId="0" applyFont="1" applyFill="1" applyBorder="1" applyAlignment="1">
      <alignment horizontal="center"/>
    </xf>
    <xf numFmtId="0" fontId="48" fillId="33" borderId="22" xfId="0" applyFont="1" applyFill="1" applyBorder="1" applyAlignment="1">
      <alignment horizontal="center"/>
    </xf>
    <xf numFmtId="0" fontId="30" fillId="31" borderId="28" xfId="0" applyFont="1" applyFill="1" applyBorder="1" applyAlignment="1">
      <alignment horizontal="center"/>
    </xf>
    <xf numFmtId="202" fontId="109" fillId="31" borderId="41" xfId="0" applyNumberFormat="1" applyFont="1" applyFill="1" applyBorder="1" applyAlignment="1">
      <alignment horizontal="center"/>
    </xf>
    <xf numFmtId="3" fontId="109" fillId="31" borderId="134" xfId="0" applyNumberFormat="1" applyFont="1" applyFill="1" applyBorder="1" applyAlignment="1">
      <alignment horizontal="center"/>
    </xf>
    <xf numFmtId="3" fontId="109" fillId="31" borderId="90" xfId="0" applyNumberFormat="1" applyFont="1" applyFill="1" applyBorder="1" applyAlignment="1">
      <alignment horizontal="center"/>
    </xf>
    <xf numFmtId="3" fontId="109" fillId="31" borderId="42" xfId="0" applyNumberFormat="1" applyFont="1" applyFill="1" applyBorder="1" applyAlignment="1">
      <alignment horizontal="center"/>
    </xf>
    <xf numFmtId="202" fontId="48" fillId="27" borderId="55" xfId="0" applyNumberFormat="1" applyFont="1" applyFill="1" applyBorder="1" applyAlignment="1">
      <alignment horizontal="center"/>
    </xf>
    <xf numFmtId="3" fontId="48" fillId="34" borderId="10" xfId="0" applyNumberFormat="1" applyFont="1" applyFill="1" applyBorder="1" applyAlignment="1">
      <alignment horizontal="center"/>
    </xf>
    <xf numFmtId="3" fontId="48" fillId="34" borderId="85" xfId="0" applyNumberFormat="1" applyFont="1" applyFill="1" applyBorder="1" applyAlignment="1">
      <alignment horizontal="center"/>
    </xf>
    <xf numFmtId="3" fontId="48" fillId="34" borderId="55" xfId="0" applyNumberFormat="1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3" fontId="1" fillId="0" borderId="32" xfId="0" applyNumberFormat="1" applyFont="1" applyFill="1" applyBorder="1" applyAlignment="1">
      <alignment horizontal="center"/>
    </xf>
    <xf numFmtId="3" fontId="1" fillId="0" borderId="159" xfId="0" applyNumberFormat="1" applyFont="1" applyFill="1" applyBorder="1" applyAlignment="1">
      <alignment horizontal="center"/>
    </xf>
    <xf numFmtId="3" fontId="30" fillId="0" borderId="154" xfId="0" applyNumberFormat="1" applyFont="1" applyFill="1" applyBorder="1" applyAlignment="1">
      <alignment horizontal="center"/>
    </xf>
    <xf numFmtId="3" fontId="30" fillId="0" borderId="115" xfId="0" applyNumberFormat="1" applyFont="1" applyFill="1" applyBorder="1" applyAlignment="1">
      <alignment horizontal="center"/>
    </xf>
    <xf numFmtId="3" fontId="30" fillId="0" borderId="160" xfId="0" applyNumberFormat="1" applyFont="1" applyFill="1" applyBorder="1" applyAlignment="1">
      <alignment horizontal="center"/>
    </xf>
    <xf numFmtId="3" fontId="4" fillId="26" borderId="41" xfId="0" applyNumberFormat="1" applyFont="1" applyFill="1" applyBorder="1" applyAlignment="1">
      <alignment horizontal="center"/>
    </xf>
    <xf numFmtId="3" fontId="4" fillId="26" borderId="43" xfId="0" applyNumberFormat="1" applyFont="1" applyFill="1" applyBorder="1" applyAlignment="1">
      <alignment horizontal="center"/>
    </xf>
    <xf numFmtId="3" fontId="0" fillId="26" borderId="42" xfId="0" applyNumberFormat="1" applyFill="1" applyBorder="1" applyAlignment="1">
      <alignment horizontal="center"/>
    </xf>
    <xf numFmtId="0" fontId="30" fillId="0" borderId="29" xfId="0" applyFont="1" applyFill="1" applyBorder="1" applyAlignment="1">
      <alignment horizontal="center"/>
    </xf>
    <xf numFmtId="3" fontId="1" fillId="0" borderId="28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center"/>
    </xf>
    <xf numFmtId="3" fontId="30" fillId="0" borderId="60" xfId="0" applyNumberFormat="1" applyFont="1" applyFill="1" applyBorder="1" applyAlignment="1">
      <alignment horizontal="center"/>
    </xf>
    <xf numFmtId="3" fontId="30" fillId="0" borderId="18" xfId="0" applyNumberFormat="1" applyFont="1" applyFill="1" applyBorder="1" applyAlignment="1">
      <alignment horizontal="center"/>
    </xf>
    <xf numFmtId="3" fontId="30" fillId="0" borderId="30" xfId="0" applyNumberFormat="1" applyFont="1" applyFill="1" applyBorder="1" applyAlignment="1">
      <alignment horizontal="center"/>
    </xf>
    <xf numFmtId="3" fontId="4" fillId="26" borderId="28" xfId="0" applyNumberFormat="1" applyFont="1" applyFill="1" applyBorder="1" applyAlignment="1">
      <alignment horizontal="center"/>
    </xf>
    <xf numFmtId="3" fontId="4" fillId="26" borderId="0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 horizontal="center"/>
    </xf>
    <xf numFmtId="3" fontId="4" fillId="26" borderId="161" xfId="0" applyNumberFormat="1" applyFont="1" applyFill="1" applyBorder="1" applyAlignment="1">
      <alignment horizontal="center"/>
    </xf>
    <xf numFmtId="3" fontId="4" fillId="26" borderId="38" xfId="0" applyNumberFormat="1" applyFont="1" applyFill="1" applyBorder="1" applyAlignment="1">
      <alignment horizontal="center"/>
    </xf>
    <xf numFmtId="3" fontId="0" fillId="26" borderId="10" xfId="0" applyNumberFormat="1" applyFill="1" applyBorder="1" applyAlignment="1">
      <alignment horizontal="center"/>
    </xf>
    <xf numFmtId="0" fontId="30" fillId="0" borderId="28" xfId="0" applyFont="1" applyFill="1" applyBorder="1" applyAlignment="1">
      <alignment horizontal="center"/>
    </xf>
    <xf numFmtId="3" fontId="1" fillId="0" borderId="97" xfId="0" applyNumberFormat="1" applyFont="1" applyFill="1" applyBorder="1" applyAlignment="1">
      <alignment horizontal="center"/>
    </xf>
    <xf numFmtId="3" fontId="1" fillId="0" borderId="27" xfId="0" applyNumberFormat="1" applyFont="1" applyFill="1" applyBorder="1" applyAlignment="1">
      <alignment horizontal="center"/>
    </xf>
    <xf numFmtId="3" fontId="30" fillId="0" borderId="39" xfId="0" applyNumberFormat="1" applyFont="1" applyFill="1" applyBorder="1" applyAlignment="1">
      <alignment horizontal="center"/>
    </xf>
    <xf numFmtId="3" fontId="30" fillId="0" borderId="19" xfId="0" applyNumberFormat="1" applyFont="1" applyFill="1" applyBorder="1" applyAlignment="1">
      <alignment horizontal="center"/>
    </xf>
    <xf numFmtId="3" fontId="30" fillId="0" borderId="67" xfId="0" applyNumberFormat="1" applyFont="1" applyFill="1" applyBorder="1" applyAlignment="1">
      <alignment horizontal="center"/>
    </xf>
    <xf numFmtId="3" fontId="0" fillId="26" borderId="0" xfId="0" applyNumberFormat="1" applyFill="1" applyBorder="1" applyAlignment="1">
      <alignment horizontal="center"/>
    </xf>
    <xf numFmtId="0" fontId="1" fillId="0" borderId="56" xfId="0" applyFont="1" applyFill="1" applyBorder="1" applyAlignment="1">
      <alignment vertical="center"/>
    </xf>
    <xf numFmtId="9" fontId="1" fillId="0" borderId="24" xfId="66" applyNumberFormat="1" applyFont="1" applyFill="1" applyBorder="1" applyAlignment="1">
      <alignment horizontal="center"/>
    </xf>
    <xf numFmtId="9" fontId="1" fillId="0" borderId="20" xfId="66" applyNumberFormat="1" applyFont="1" applyFill="1" applyBorder="1" applyAlignment="1">
      <alignment horizontal="center"/>
    </xf>
    <xf numFmtId="9" fontId="1" fillId="0" borderId="33" xfId="66" applyNumberFormat="1" applyFont="1" applyFill="1" applyBorder="1" applyAlignment="1">
      <alignment horizontal="center"/>
    </xf>
    <xf numFmtId="9" fontId="1" fillId="0" borderId="52" xfId="66" applyNumberFormat="1" applyFont="1" applyFill="1" applyBorder="1" applyAlignment="1">
      <alignment horizontal="center"/>
    </xf>
    <xf numFmtId="9" fontId="1" fillId="0" borderId="115" xfId="66" applyNumberFormat="1" applyFont="1" applyFill="1" applyBorder="1" applyAlignment="1">
      <alignment horizontal="center"/>
    </xf>
    <xf numFmtId="198" fontId="1" fillId="0" borderId="160" xfId="66" applyNumberFormat="1" applyFont="1" applyFill="1" applyBorder="1" applyAlignment="1">
      <alignment horizontal="center"/>
    </xf>
    <xf numFmtId="0" fontId="1" fillId="0" borderId="55" xfId="0" applyFont="1" applyFill="1" applyBorder="1" applyAlignment="1">
      <alignment/>
    </xf>
    <xf numFmtId="9" fontId="1" fillId="0" borderId="21" xfId="66" applyNumberFormat="1" applyFont="1" applyFill="1" applyBorder="1" applyAlignment="1">
      <alignment horizontal="center"/>
    </xf>
    <xf numFmtId="9" fontId="1" fillId="0" borderId="22" xfId="66" applyNumberFormat="1" applyFont="1" applyFill="1" applyBorder="1" applyAlignment="1">
      <alignment horizontal="center"/>
    </xf>
    <xf numFmtId="198" fontId="1" fillId="0" borderId="22" xfId="66" applyNumberFormat="1" applyFont="1" applyFill="1" applyBorder="1" applyAlignment="1">
      <alignment horizontal="center"/>
    </xf>
    <xf numFmtId="9" fontId="1" fillId="0" borderId="18" xfId="66" applyNumberFormat="1" applyFont="1" applyFill="1" applyBorder="1" applyAlignment="1">
      <alignment horizontal="center"/>
    </xf>
    <xf numFmtId="9" fontId="1" fillId="0" borderId="42" xfId="66" applyNumberFormat="1" applyFont="1" applyFill="1" applyBorder="1" applyAlignment="1">
      <alignment horizontal="center"/>
    </xf>
    <xf numFmtId="9" fontId="1" fillId="0" borderId="54" xfId="66" applyNumberFormat="1" applyFont="1" applyFill="1" applyBorder="1" applyAlignment="1">
      <alignment horizontal="center"/>
    </xf>
    <xf numFmtId="9" fontId="1" fillId="0" borderId="21" xfId="66" applyFont="1" applyFill="1" applyBorder="1" applyAlignment="1">
      <alignment horizontal="center"/>
    </xf>
    <xf numFmtId="9" fontId="1" fillId="0" borderId="22" xfId="66" applyFont="1" applyFill="1" applyBorder="1" applyAlignment="1">
      <alignment horizontal="center"/>
    </xf>
    <xf numFmtId="9" fontId="1" fillId="0" borderId="85" xfId="66" applyFont="1" applyFill="1" applyBorder="1" applyAlignment="1">
      <alignment horizontal="center"/>
    </xf>
    <xf numFmtId="9" fontId="1" fillId="0" borderId="10" xfId="66" applyFont="1" applyFill="1" applyBorder="1" applyAlignment="1">
      <alignment horizontal="center"/>
    </xf>
    <xf numFmtId="9" fontId="1" fillId="0" borderId="16" xfId="66" applyFont="1" applyFill="1" applyBorder="1" applyAlignment="1">
      <alignment horizontal="center"/>
    </xf>
    <xf numFmtId="0" fontId="1" fillId="0" borderId="97" xfId="0" applyFont="1" applyFill="1" applyBorder="1" applyAlignment="1">
      <alignment/>
    </xf>
    <xf numFmtId="9" fontId="1" fillId="0" borderId="23" xfId="66" applyFont="1" applyFill="1" applyBorder="1" applyAlignment="1">
      <alignment horizontal="center"/>
    </xf>
    <xf numFmtId="0" fontId="30" fillId="0" borderId="125" xfId="0" applyFont="1" applyBorder="1" applyAlignment="1">
      <alignment/>
    </xf>
    <xf numFmtId="9" fontId="1" fillId="0" borderId="39" xfId="66" applyFont="1" applyFill="1" applyBorder="1" applyAlignment="1">
      <alignment horizontal="center"/>
    </xf>
    <xf numFmtId="9" fontId="1" fillId="0" borderId="58" xfId="66" applyFont="1" applyFill="1" applyBorder="1" applyAlignment="1">
      <alignment horizontal="center"/>
    </xf>
    <xf numFmtId="9" fontId="1" fillId="0" borderId="53" xfId="66" applyFont="1" applyFill="1" applyBorder="1" applyAlignment="1">
      <alignment horizontal="center"/>
    </xf>
    <xf numFmtId="9" fontId="1" fillId="0" borderId="98" xfId="66" applyFont="1" applyFill="1" applyBorder="1" applyAlignment="1">
      <alignment horizontal="center"/>
    </xf>
    <xf numFmtId="0" fontId="30" fillId="0" borderId="0" xfId="0" applyFont="1" applyAlignment="1">
      <alignment/>
    </xf>
    <xf numFmtId="199" fontId="30" fillId="0" borderId="0" xfId="66" applyNumberFormat="1" applyFont="1" applyBorder="1" applyAlignment="1">
      <alignment/>
    </xf>
    <xf numFmtId="199" fontId="30" fillId="0" borderId="0" xfId="66" applyNumberFormat="1" applyFont="1" applyAlignment="1">
      <alignment/>
    </xf>
    <xf numFmtId="0" fontId="31" fillId="0" borderId="0" xfId="0" applyFont="1" applyAlignment="1">
      <alignment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seño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11" xfId="56"/>
    <cellStyle name="Normal 2" xfId="57"/>
    <cellStyle name="Normal 3" xfId="58"/>
    <cellStyle name="Notas" xfId="59"/>
    <cellStyle name="Percent" xfId="60"/>
    <cellStyle name="Porcentaje 2" xfId="61"/>
    <cellStyle name="Porcentaje 3" xfId="62"/>
    <cellStyle name="Porcentaje 4" xfId="63"/>
    <cellStyle name="Porcentaje 4 2" xfId="64"/>
    <cellStyle name="Porcentual 2" xfId="65"/>
    <cellStyle name="Porcentual 2 2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theme" Target="theme/theme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POTENCIA INSTALADA - GENERADORAS PARA MERCADO ELÉCTRICO
 1 995 -2 013</a:t>
            </a:r>
          </a:p>
        </c:rich>
      </c:tx>
      <c:layout>
        <c:manualLayout>
          <c:xMode val="factor"/>
          <c:yMode val="factor"/>
          <c:x val="-0.02975"/>
          <c:y val="0.0035"/>
        </c:manualLayout>
      </c:layout>
      <c:spPr>
        <a:solidFill>
          <a:srgbClr val="000080"/>
        </a:solidFill>
        <a:ln w="3175">
          <a:noFill/>
        </a:ln>
      </c:spPr>
    </c:title>
    <c:plotArea>
      <c:layout>
        <c:manualLayout>
          <c:xMode val="edge"/>
          <c:yMode val="edge"/>
          <c:x val="0.0415"/>
          <c:y val="0.19725"/>
          <c:w val="0.92925"/>
          <c:h val="0.6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 PI-2013'!$R$34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PI-2013'!$Q$35:$Q$53</c:f>
              <c:numCache/>
            </c:numRef>
          </c:cat>
          <c:val>
            <c:numRef>
              <c:f>'10.1 PI-2013'!$R$35:$R$53</c:f>
              <c:numCache/>
            </c:numRef>
          </c:val>
        </c:ser>
        <c:ser>
          <c:idx val="1"/>
          <c:order val="1"/>
          <c:tx>
            <c:strRef>
              <c:f>'10.1 PI-2013'!$S$34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PI-2013'!$Q$35:$Q$53</c:f>
              <c:numCache/>
            </c:numRef>
          </c:cat>
          <c:val>
            <c:numRef>
              <c:f>'10.1 PI-2013'!$S$35:$S$53</c:f>
              <c:numCache/>
            </c:numRef>
          </c:val>
        </c:ser>
        <c:ser>
          <c:idx val="2"/>
          <c:order val="2"/>
          <c:tx>
            <c:strRef>
              <c:f>'10.1 PI-2013'!$T$34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PI-2013'!$Q$35:$Q$53</c:f>
              <c:numCache/>
            </c:numRef>
          </c:cat>
          <c:val>
            <c:numRef>
              <c:f>'10.1 PI-2013'!$T$35:$T$53</c:f>
              <c:numCache/>
            </c:numRef>
          </c:val>
        </c:ser>
        <c:ser>
          <c:idx val="3"/>
          <c:order val="3"/>
          <c:tx>
            <c:strRef>
              <c:f>'10.1 PI-2013'!$U$34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00B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numRef>
              <c:f>'10.1 PI-2013'!$Q$35:$Q$53</c:f>
              <c:numCache/>
            </c:numRef>
          </c:cat>
          <c:val>
            <c:numRef>
              <c:f>'10.1 PI-2013'!$U$35:$U$53</c:f>
              <c:numCache/>
            </c:numRef>
          </c:val>
        </c:ser>
        <c:axId val="6983878"/>
        <c:axId val="62854903"/>
      </c:barChart>
      <c:catAx>
        <c:axId val="6983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54903"/>
        <c:crosses val="autoZero"/>
        <c:auto val="1"/>
        <c:lblOffset val="100"/>
        <c:tickLblSkip val="1"/>
        <c:noMultiLvlLbl val="0"/>
      </c:catAx>
      <c:valAx>
        <c:axId val="62854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838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45"/>
          <c:y val="0.855"/>
          <c:w val="0.3075"/>
          <c:h val="0.09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PRODUCCIÓN DE ENERGÍA ELÉCTRICA 
PARA USO PROPIO 1 995 - 2 013</a:t>
            </a:r>
          </a:p>
        </c:rich>
      </c:tx>
      <c:layout>
        <c:manualLayout>
          <c:xMode val="factor"/>
          <c:yMode val="factor"/>
          <c:x val="0.01175"/>
          <c:y val="0.02675"/>
        </c:manualLayout>
      </c:layout>
      <c:spPr>
        <a:solidFill>
          <a:srgbClr val="000080"/>
        </a:solidFill>
        <a:ln w="3175">
          <a:noFill/>
        </a:ln>
      </c:spPr>
    </c:title>
    <c:plotArea>
      <c:layout>
        <c:manualLayout>
          <c:xMode val="edge"/>
          <c:yMode val="edge"/>
          <c:x val="0.047"/>
          <c:y val="0.18075"/>
          <c:w val="0.94375"/>
          <c:h val="0.81825"/>
        </c:manualLayout>
      </c:layout>
      <c:areaChart>
        <c:grouping val="stacked"/>
        <c:varyColors val="0"/>
        <c:ser>
          <c:idx val="0"/>
          <c:order val="0"/>
          <c:tx>
            <c:strRef>
              <c:f>'10.4 Prod'!$S$74</c:f>
              <c:strCache>
                <c:ptCount val="1"/>
                <c:pt idx="0">
                  <c:v>Hidráulica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'10.4 Prod'!$R$75:$R$93</c:f>
              <c:numCache/>
            </c:numRef>
          </c:cat>
          <c:val>
            <c:numRef>
              <c:f>'10.4 Prod'!$S$75:$S$93</c:f>
              <c:numCache/>
            </c:numRef>
          </c:val>
        </c:ser>
        <c:ser>
          <c:idx val="1"/>
          <c:order val="1"/>
          <c:tx>
            <c:strRef>
              <c:f>'10.4 Prod'!$T$74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'10.4 Prod'!$R$75:$R$93</c:f>
              <c:numCache/>
            </c:numRef>
          </c:cat>
          <c:val>
            <c:numRef>
              <c:f>'10.4 Prod'!$T$75:$T$93</c:f>
              <c:numCache/>
            </c:numRef>
          </c:val>
        </c:ser>
        <c:axId val="43093632"/>
        <c:axId val="52298369"/>
      </c:areaChart>
      <c:catAx>
        <c:axId val="43093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98369"/>
        <c:crosses val="autoZero"/>
        <c:auto val="1"/>
        <c:lblOffset val="100"/>
        <c:tickLblSkip val="1"/>
        <c:noMultiLvlLbl val="0"/>
      </c:catAx>
      <c:valAx>
        <c:axId val="52298369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93632"/>
        <c:crossesAt val="1"/>
        <c:crossBetween val="midCat"/>
        <c:dispUnits/>
        <c:majorUnit val="1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 LA LONGITUD TOTAL DE LÍNEAS DE TRANSMISIÓN A NIVEL NACIONAL
1995 - 2013</a:t>
            </a:r>
          </a:p>
        </c:rich>
      </c:tx>
      <c:layout>
        <c:manualLayout>
          <c:xMode val="factor"/>
          <c:yMode val="factor"/>
          <c:x val="0.00125"/>
          <c:y val="-0.0085"/>
        </c:manualLayout>
      </c:layout>
      <c:spPr>
        <a:solidFill>
          <a:srgbClr val="000080"/>
        </a:solidFill>
        <a:ln w="3175">
          <a:noFill/>
        </a:ln>
      </c:spPr>
    </c:title>
    <c:plotArea>
      <c:layout>
        <c:manualLayout>
          <c:xMode val="edge"/>
          <c:yMode val="edge"/>
          <c:x val="0.05375"/>
          <c:y val="0.22425"/>
          <c:w val="0.88575"/>
          <c:h val="0.63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'10.5 LINEAS'!$M$9</c:f>
              <c:strCache>
                <c:ptCount val="1"/>
                <c:pt idx="0">
                  <c:v>500</c:v>
                </c:pt>
              </c:strCache>
            </c:strRef>
          </c:tx>
          <c:spPr>
            <a:gradFill rotWithShape="1">
              <a:gsLst>
                <a:gs pos="0">
                  <a:srgbClr val="3B0F2C"/>
                </a:gs>
                <a:gs pos="50000">
                  <a:srgbClr val="802060"/>
                </a:gs>
                <a:gs pos="100000">
                  <a:srgbClr val="3B0F2C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'10.5 LINEAS'!$K$11:$K$28</c:f>
              <c:numCache/>
            </c:numRef>
          </c:cat>
          <c:val>
            <c:numRef>
              <c:f>'10.5 LINEAS'!$M$11:$M$28</c:f>
              <c:numCache/>
            </c:numRef>
          </c:val>
        </c:ser>
        <c:ser>
          <c:idx val="2"/>
          <c:order val="1"/>
          <c:tx>
            <c:strRef>
              <c:f>'10.5 LINEAS'!$N$9</c:f>
              <c:strCache>
                <c:ptCount val="1"/>
                <c:pt idx="0">
                  <c:v>220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'10.5 LINEAS'!$K$11:$K$28</c:f>
              <c:numCache/>
            </c:numRef>
          </c:cat>
          <c:val>
            <c:numRef>
              <c:f>'10.5 LINEAS'!$N$11:$N$28</c:f>
              <c:numCache/>
            </c:numRef>
          </c:val>
        </c:ser>
        <c:ser>
          <c:idx val="3"/>
          <c:order val="2"/>
          <c:tx>
            <c:strRef>
              <c:f>'10.5 LINEAS'!$O$9</c:f>
              <c:strCache>
                <c:ptCount val="1"/>
                <c:pt idx="0">
                  <c:v>138</c:v>
                </c:pt>
              </c:strCache>
            </c:strRef>
          </c:tx>
          <c:spPr>
            <a:gradFill rotWithShape="1">
              <a:gsLst>
                <a:gs pos="0">
                  <a:srgbClr val="4D5D6F"/>
                </a:gs>
                <a:gs pos="50000">
                  <a:srgbClr val="A6CAF0"/>
                </a:gs>
                <a:gs pos="100000">
                  <a:srgbClr val="4D5D6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'10.5 LINEAS'!$K$11:$K$28</c:f>
              <c:numCache/>
            </c:numRef>
          </c:cat>
          <c:val>
            <c:numRef>
              <c:f>'10.5 LINEAS'!$O$11:$O$28</c:f>
              <c:numCache/>
            </c:numRef>
          </c:val>
        </c:ser>
        <c:ser>
          <c:idx val="4"/>
          <c:order val="3"/>
          <c:tx>
            <c:strRef>
              <c:f>'10.5 LINEAS'!$P$9</c:f>
              <c:strCache>
                <c:ptCount val="1"/>
                <c:pt idx="0">
                  <c:v>60 - 69</c:v>
                </c:pt>
              </c:strCache>
            </c:strRef>
          </c:tx>
          <c:spPr>
            <a:gradFill rotWithShape="1">
              <a:gsLst>
                <a:gs pos="0">
                  <a:srgbClr val="595976"/>
                </a:gs>
                <a:gs pos="50000">
                  <a:srgbClr val="C0C0FF"/>
                </a:gs>
                <a:gs pos="100000">
                  <a:srgbClr val="5959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'10.5 LINEAS'!$K$11:$K$28</c:f>
              <c:numCache/>
            </c:numRef>
          </c:cat>
          <c:val>
            <c:numRef>
              <c:f>'10.5 LINEAS'!$P$11:$P$28</c:f>
              <c:numCache/>
            </c:numRef>
          </c:val>
        </c:ser>
        <c:ser>
          <c:idx val="0"/>
          <c:order val="4"/>
          <c:tx>
            <c:strRef>
              <c:f>'10.5 LINEAS'!$Q$9</c:f>
              <c:strCache>
                <c:ptCount val="1"/>
                <c:pt idx="0">
                  <c:v>30 - 50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'10.5 LINEAS'!$K$11:$K$28</c:f>
              <c:numCache/>
            </c:numRef>
          </c:cat>
          <c:val>
            <c:numRef>
              <c:f>'10.5 LINEAS'!$Q$11:$Q$28</c:f>
              <c:numCache/>
            </c:numRef>
          </c:val>
        </c:ser>
        <c:overlap val="100"/>
        <c:axId val="923274"/>
        <c:axId val="8309467"/>
      </c:barChart>
      <c:catAx>
        <c:axId val="923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09467"/>
        <c:crosses val="autoZero"/>
        <c:auto val="1"/>
        <c:lblOffset val="100"/>
        <c:tickLblSkip val="1"/>
        <c:noMultiLvlLbl val="0"/>
      </c:catAx>
      <c:valAx>
        <c:axId val="8309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(km)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424242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32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95"/>
          <c:y val="0.891"/>
          <c:w val="0.598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EVOLUCIÓN DE VENTAS DE ENERGÍA ELÉCTRICA  POR TIPO DE MERCADO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1 995 - 2 013</a:t>
            </a:r>
          </a:p>
        </c:rich>
      </c:tx>
      <c:layout>
        <c:manualLayout>
          <c:xMode val="factor"/>
          <c:yMode val="factor"/>
          <c:x val="0.0105"/>
          <c:y val="-0.01375"/>
        </c:manualLayout>
      </c:layout>
      <c:spPr>
        <a:solidFill>
          <a:srgbClr val="000080"/>
        </a:solidFill>
        <a:ln w="3175">
          <a:noFill/>
        </a:ln>
      </c:spPr>
    </c:title>
    <c:plotArea>
      <c:layout>
        <c:manualLayout>
          <c:xMode val="edge"/>
          <c:yMode val="edge"/>
          <c:x val="0.04675"/>
          <c:y val="0.21325"/>
          <c:w val="0.944"/>
          <c:h val="0.76375"/>
        </c:manualLayout>
      </c:layout>
      <c:areaChart>
        <c:grouping val="stacked"/>
        <c:varyColors val="0"/>
        <c:ser>
          <c:idx val="0"/>
          <c:order val="0"/>
          <c:tx>
            <c:strRef>
              <c:f>'10.6 VENTAS'!$O$12</c:f>
              <c:strCache>
                <c:ptCount val="1"/>
                <c:pt idx="0">
                  <c:v>Regulados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'10.6 VENTAS'!$N$15:$N$32</c:f>
              <c:numCache/>
            </c:numRef>
          </c:cat>
          <c:val>
            <c:numRef>
              <c:f>'10.6 VENTAS'!$O$15:$O$32</c:f>
              <c:numCache/>
            </c:numRef>
          </c:val>
        </c:ser>
        <c:ser>
          <c:idx val="1"/>
          <c:order val="1"/>
          <c:tx>
            <c:strRef>
              <c:f>'10.6 VENTAS'!$P$12</c:f>
              <c:strCache>
                <c:ptCount val="1"/>
                <c:pt idx="0">
                  <c:v>Libres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'10.6 VENTAS'!$N$15:$N$32</c:f>
              <c:numCache/>
            </c:numRef>
          </c:cat>
          <c:val>
            <c:numRef>
              <c:f>'10.6 VENTAS'!$P$15:$P$32</c:f>
              <c:numCache/>
            </c:numRef>
          </c:val>
        </c:ser>
        <c:axId val="7676340"/>
        <c:axId val="1978197"/>
      </c:areaChart>
      <c:catAx>
        <c:axId val="7676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8197"/>
        <c:crosses val="autoZero"/>
        <c:auto val="1"/>
        <c:lblOffset val="100"/>
        <c:tickLblSkip val="1"/>
        <c:noMultiLvlLbl val="0"/>
      </c:catAx>
      <c:valAx>
        <c:axId val="19781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15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76340"/>
        <c:crossesAt val="1"/>
        <c:crossBetween val="midCat"/>
        <c:dispUnits/>
        <c:majorUnit val="4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EVOLUCIÓN DE VENTAS DE ENERGÍA POR TIPO DE EMPRESA
1 995 - 2 013</a:t>
            </a:r>
          </a:p>
        </c:rich>
      </c:tx>
      <c:layout>
        <c:manualLayout>
          <c:xMode val="factor"/>
          <c:yMode val="factor"/>
          <c:x val="0.0105"/>
          <c:y val="0.013"/>
        </c:manualLayout>
      </c:layout>
      <c:spPr>
        <a:solidFill>
          <a:srgbClr val="000080"/>
        </a:solidFill>
        <a:ln w="3175">
          <a:noFill/>
        </a:ln>
      </c:spPr>
    </c:title>
    <c:plotArea>
      <c:layout>
        <c:manualLayout>
          <c:xMode val="edge"/>
          <c:yMode val="edge"/>
          <c:x val="0.073"/>
          <c:y val="0.209"/>
          <c:w val="0.89925"/>
          <c:h val="0.75275"/>
        </c:manualLayout>
      </c:layout>
      <c:areaChart>
        <c:grouping val="stacked"/>
        <c:varyColors val="0"/>
        <c:ser>
          <c:idx val="0"/>
          <c:order val="0"/>
          <c:tx>
            <c:strRef>
              <c:f>'10.6 VENTAS'!$O$41</c:f>
              <c:strCache>
                <c:ptCount val="1"/>
                <c:pt idx="0">
                  <c:v>Distribuidoras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'10.6 VENTAS'!$N$44:$N$62</c:f>
              <c:numCache/>
            </c:numRef>
          </c:cat>
          <c:val>
            <c:numRef>
              <c:f>'10.6 VENTAS'!$O$44:$O$62</c:f>
              <c:numCache/>
            </c:numRef>
          </c:val>
        </c:ser>
        <c:ser>
          <c:idx val="1"/>
          <c:order val="1"/>
          <c:tx>
            <c:strRef>
              <c:f>'10.6 VENTAS'!$P$41</c:f>
              <c:strCache>
                <c:ptCount val="1"/>
                <c:pt idx="0">
                  <c:v>Generadoras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'10.6 VENTAS'!$N$44:$N$62</c:f>
              <c:numCache/>
            </c:numRef>
          </c:cat>
          <c:val>
            <c:numRef>
              <c:f>'10.6 VENTAS'!$P$44:$P$62</c:f>
              <c:numCache/>
            </c:numRef>
          </c:val>
        </c:ser>
        <c:axId val="17803774"/>
        <c:axId val="26016239"/>
      </c:areaChart>
      <c:catAx>
        <c:axId val="17803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16239"/>
        <c:crosses val="autoZero"/>
        <c:auto val="1"/>
        <c:lblOffset val="100"/>
        <c:tickLblSkip val="1"/>
        <c:noMultiLvlLbl val="0"/>
      </c:catAx>
      <c:valAx>
        <c:axId val="26016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1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03774"/>
        <c:crossesAt val="1"/>
        <c:crossBetween val="midCat"/>
        <c:dispUnits/>
        <c:majorUnit val="4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 LA FACTURACIÓN POR VENTA FINAL DE ENERGÍA </a:t>
            </a: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ELÉCTRICA</a:t>
            </a: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AL MERCADO LIBRE Y REGULADO   
1995 - 2013</a:t>
            </a:r>
          </a:p>
        </c:rich>
      </c:tx>
      <c:layout>
        <c:manualLayout>
          <c:xMode val="factor"/>
          <c:yMode val="factor"/>
          <c:x val="0.038"/>
          <c:y val="0.008"/>
        </c:manualLayout>
      </c:layout>
      <c:spPr>
        <a:solidFill>
          <a:srgbClr val="000080"/>
        </a:solidFill>
        <a:ln w="3175">
          <a:noFill/>
        </a:ln>
      </c:spPr>
    </c:title>
    <c:plotArea>
      <c:layout>
        <c:manualLayout>
          <c:xMode val="edge"/>
          <c:yMode val="edge"/>
          <c:x val="0.0405"/>
          <c:y val="0.1855"/>
          <c:w val="0.96025"/>
          <c:h val="0.8265"/>
        </c:manualLayout>
      </c:layout>
      <c:areaChart>
        <c:grouping val="stacked"/>
        <c:varyColors val="0"/>
        <c:ser>
          <c:idx val="0"/>
          <c:order val="0"/>
          <c:tx>
            <c:strRef>
              <c:f>'10.7 FACTURAC-2013'!$O$39</c:f>
              <c:strCache>
                <c:ptCount val="1"/>
                <c:pt idx="0">
                  <c:v>Regulados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'10.7 FACTURAC-2013'!$N$40:$N$58</c:f>
              <c:numCache/>
            </c:numRef>
          </c:cat>
          <c:val>
            <c:numRef>
              <c:f>'10.7 FACTURAC-2013'!$O$40:$O$58</c:f>
              <c:numCache/>
            </c:numRef>
          </c:val>
        </c:ser>
        <c:ser>
          <c:idx val="1"/>
          <c:order val="1"/>
          <c:tx>
            <c:strRef>
              <c:f>'10.7 FACTURAC-2013'!$P$39</c:f>
              <c:strCache>
                <c:ptCount val="1"/>
                <c:pt idx="0">
                  <c:v>Libres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AD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'10.7 FACTURAC-2013'!$N$40:$N$58</c:f>
              <c:numCache/>
            </c:numRef>
          </c:cat>
          <c:val>
            <c:numRef>
              <c:f>'10.7 FACTURAC-2013'!$P$40:$P$58</c:f>
              <c:numCache/>
            </c:numRef>
          </c:val>
        </c:ser>
        <c:axId val="32819560"/>
        <c:axId val="26940585"/>
      </c:areaChart>
      <c:catAx>
        <c:axId val="32819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40585"/>
        <c:crosses val="autoZero"/>
        <c:auto val="1"/>
        <c:lblOffset val="100"/>
        <c:tickLblSkip val="1"/>
        <c:noMultiLvlLbl val="0"/>
      </c:catAx>
      <c:valAx>
        <c:axId val="26940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Miles de US $</a:t>
                </a:r>
              </a:p>
            </c:rich>
          </c:tx>
          <c:layout>
            <c:manualLayout>
              <c:xMode val="factor"/>
              <c:yMode val="factor"/>
              <c:x val="-0.0175"/>
              <c:y val="0.042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1956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 LA FACTURACIÓN POR VENTA DE ENERGÍA SEGÚN TIPO DE EMPRESA
1995 - 2013</a:t>
            </a:r>
          </a:p>
        </c:rich>
      </c:tx>
      <c:layout>
        <c:manualLayout>
          <c:xMode val="factor"/>
          <c:yMode val="factor"/>
          <c:x val="0.0475"/>
          <c:y val="0"/>
        </c:manualLayout>
      </c:layout>
      <c:spPr>
        <a:solidFill>
          <a:srgbClr val="000080"/>
        </a:solidFill>
        <a:ln w="3175">
          <a:noFill/>
        </a:ln>
      </c:spPr>
    </c:title>
    <c:plotArea>
      <c:layout>
        <c:manualLayout>
          <c:xMode val="edge"/>
          <c:yMode val="edge"/>
          <c:x val="0.04575"/>
          <c:y val="0.1615"/>
          <c:w val="0.9515"/>
          <c:h val="0.8245"/>
        </c:manualLayout>
      </c:layout>
      <c:areaChart>
        <c:grouping val="stacked"/>
        <c:varyColors val="0"/>
        <c:ser>
          <c:idx val="0"/>
          <c:order val="0"/>
          <c:tx>
            <c:strRef>
              <c:f>'10.7 FACTURAC-2013'!$O$63</c:f>
              <c:strCache>
                <c:ptCount val="1"/>
                <c:pt idx="0">
                  <c:v>Distribuidoras</c:v>
                </c:pt>
              </c:strCache>
            </c:strRef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'10.7 FACTURAC-2013'!$N$64:$N$82</c:f>
              <c:numCache/>
            </c:numRef>
          </c:cat>
          <c:val>
            <c:numRef>
              <c:f>'10.7 FACTURAC-2013'!$O$64:$O$82</c:f>
              <c:numCache/>
            </c:numRef>
          </c:val>
        </c:ser>
        <c:ser>
          <c:idx val="1"/>
          <c:order val="1"/>
          <c:tx>
            <c:strRef>
              <c:f>'10.7 FACTURAC-2013'!$P$63</c:f>
              <c:strCache>
                <c:ptCount val="1"/>
                <c:pt idx="0">
                  <c:v>Generadoras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AAD4AA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'10.7 FACTURAC-2013'!$N$64:$N$82</c:f>
              <c:numCache/>
            </c:numRef>
          </c:cat>
          <c:val>
            <c:numRef>
              <c:f>'10.7 FACTURAC-2013'!$P$64:$P$82</c:f>
              <c:numCache/>
            </c:numRef>
          </c:val>
        </c:ser>
        <c:axId val="41138674"/>
        <c:axId val="34703747"/>
      </c:areaChart>
      <c:catAx>
        <c:axId val="41138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03747"/>
        <c:crosses val="autoZero"/>
        <c:auto val="1"/>
        <c:lblOffset val="100"/>
        <c:tickLblSkip val="1"/>
        <c:noMultiLvlLbl val="0"/>
      </c:catAx>
      <c:valAx>
        <c:axId val="3470374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Miles de US $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5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38674"/>
        <c:crossesAt val="1"/>
        <c:crossBetween val="midCat"/>
        <c:dispUnits/>
        <c:majorUnit val="500000"/>
        <c:minorUnit val="20000"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EVOLUCIÓN DEl PRECIO MEDIO DE ENERGÍA ELÉCTRICA AL MERCADO LIBRE Y REGULADO 1995 - 2013</a:t>
            </a:r>
          </a:p>
        </c:rich>
      </c:tx>
      <c:layout>
        <c:manualLayout>
          <c:xMode val="factor"/>
          <c:yMode val="factor"/>
          <c:x val="0.02525"/>
          <c:y val="-0.0185"/>
        </c:manualLayout>
      </c:layout>
      <c:spPr>
        <a:solidFill>
          <a:srgbClr val="000080"/>
        </a:solidFill>
        <a:ln w="3175">
          <a:noFill/>
        </a:ln>
      </c:spPr>
    </c:title>
    <c:plotArea>
      <c:layout>
        <c:manualLayout>
          <c:xMode val="edge"/>
          <c:yMode val="edge"/>
          <c:x val="0.06325"/>
          <c:y val="0.1325"/>
          <c:w val="0.84525"/>
          <c:h val="0.6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'10.8 PRECIO MEDIO'!$O$12</c:f>
              <c:strCache>
                <c:ptCount val="1"/>
                <c:pt idx="0">
                  <c:v>Regulados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3366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'10.8 PRECIO MEDIO'!$N$14:$N$32</c:f>
              <c:strCache/>
            </c:strRef>
          </c:cat>
          <c:val>
            <c:numRef>
              <c:f>'10.8 PRECIO MEDIO'!$O$14:$O$32</c:f>
              <c:numCache/>
            </c:numRef>
          </c:val>
        </c:ser>
        <c:ser>
          <c:idx val="1"/>
          <c:order val="1"/>
          <c:tx>
            <c:strRef>
              <c:f>'10.8 PRECIO MEDIO'!$P$12</c:f>
              <c:strCache>
                <c:ptCount val="1"/>
                <c:pt idx="0">
                  <c:v>Libres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'10.8 PRECIO MEDIO'!$N$14:$N$32</c:f>
              <c:strCache/>
            </c:strRef>
          </c:cat>
          <c:val>
            <c:numRef>
              <c:f>'10.8 PRECIO MEDIO'!$P$14:$P$32</c:f>
              <c:numCache/>
            </c:numRef>
          </c:val>
        </c:ser>
        <c:axId val="43898268"/>
        <c:axId val="59540093"/>
      </c:barChart>
      <c:catAx>
        <c:axId val="4389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40093"/>
        <c:crosses val="autoZero"/>
        <c:auto val="1"/>
        <c:lblOffset val="100"/>
        <c:tickLblSkip val="1"/>
        <c:noMultiLvlLbl val="0"/>
      </c:catAx>
      <c:valAx>
        <c:axId val="59540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Cent. US $/kWh</a:t>
                </a:r>
              </a:p>
            </c:rich>
          </c:tx>
          <c:layout>
            <c:manualLayout>
              <c:xMode val="factor"/>
              <c:yMode val="factor"/>
              <c:x val="-0.004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982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04"/>
          <c:y val="0.89775"/>
          <c:w val="0.2067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EVOLUCIÓN DEL PRECIO MEDIO DE ENERGÍA POR TIPO DE EMPRESA
1995 - 2013</a:t>
            </a:r>
          </a:p>
        </c:rich>
      </c:tx>
      <c:layout>
        <c:manualLayout>
          <c:xMode val="factor"/>
          <c:yMode val="factor"/>
          <c:x val="0.00925"/>
          <c:y val="-0.003"/>
        </c:manualLayout>
      </c:layout>
      <c:spPr>
        <a:solidFill>
          <a:srgbClr val="000080"/>
        </a:solidFill>
        <a:ln w="3175">
          <a:noFill/>
        </a:ln>
      </c:spPr>
    </c:title>
    <c:plotArea>
      <c:layout>
        <c:manualLayout>
          <c:xMode val="edge"/>
          <c:yMode val="edge"/>
          <c:x val="0.13125"/>
          <c:y val="0.191"/>
          <c:w val="0.799"/>
          <c:h val="0.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'10.8 PRECIO MEDIO'!$O$40</c:f>
              <c:strCache>
                <c:ptCount val="1"/>
                <c:pt idx="0">
                  <c:v>Distribuidoras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996633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'10.8 PRECIO MEDIO'!$N$43:$N$61</c:f>
              <c:strCache/>
            </c:strRef>
          </c:cat>
          <c:val>
            <c:numRef>
              <c:f>'10.8 PRECIO MEDIO'!$O$43:$O$61</c:f>
              <c:numCache/>
            </c:numRef>
          </c:val>
        </c:ser>
        <c:ser>
          <c:idx val="1"/>
          <c:order val="1"/>
          <c:tx>
            <c:strRef>
              <c:f>'10.8 PRECIO MEDIO'!$P$40</c:f>
              <c:strCache>
                <c:ptCount val="1"/>
                <c:pt idx="0">
                  <c:v>Generadoras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'10.8 PRECIO MEDIO'!$N$43:$N$61</c:f>
              <c:strCache/>
            </c:strRef>
          </c:cat>
          <c:val>
            <c:numRef>
              <c:f>'10.8 PRECIO MEDIO'!$P$43:$P$61</c:f>
              <c:numCache/>
            </c:numRef>
          </c:val>
        </c:ser>
        <c:axId val="66098790"/>
        <c:axId val="58018199"/>
      </c:barChart>
      <c:catAx>
        <c:axId val="66098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18199"/>
        <c:crosses val="autoZero"/>
        <c:auto val="1"/>
        <c:lblOffset val="100"/>
        <c:tickLblSkip val="1"/>
        <c:noMultiLvlLbl val="0"/>
      </c:catAx>
      <c:valAx>
        <c:axId val="58018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Cent. US $/kWh</a:t>
                </a:r>
              </a:p>
            </c:rich>
          </c:tx>
          <c:layout>
            <c:manualLayout>
              <c:xMode val="factor"/>
              <c:yMode val="factor"/>
              <c:x val="-0.0255"/>
              <c:y val="0.01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987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475"/>
          <c:y val="0.8755"/>
          <c:w val="0.353"/>
          <c:h val="0.0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 LAS VENTAS POR SECTOR ECONÓMICO</a:t>
            </a:r>
          </a:p>
        </c:rich>
      </c:tx>
      <c:layout>
        <c:manualLayout>
          <c:xMode val="factor"/>
          <c:yMode val="factor"/>
          <c:x val="0.0485"/>
          <c:y val="0"/>
        </c:manualLayout>
      </c:layout>
      <c:spPr>
        <a:solidFill>
          <a:srgbClr val="00008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75"/>
          <c:y val="0.0745"/>
          <c:w val="0.90375"/>
          <c:h val="0.81925"/>
        </c:manualLayout>
      </c:layout>
      <c:lineChart>
        <c:grouping val="standard"/>
        <c:varyColors val="0"/>
        <c:ser>
          <c:idx val="0"/>
          <c:order val="0"/>
          <c:tx>
            <c:strRef>
              <c:f>'10.9 VENTAS-CIIU-2013'!$O$58</c:f>
              <c:strCache>
                <c:ptCount val="1"/>
                <c:pt idx="0">
                  <c:v>Industrial</c:v>
                </c:pt>
              </c:strCache>
            </c:strRef>
          </c:tx>
          <c:spPr>
            <a:ln w="127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'10.9 VENTAS-CIIU-2013'!$P$57:$AK$57</c:f>
              <c:numCache/>
            </c:numRef>
          </c:cat>
          <c:val>
            <c:numRef>
              <c:f>'10.9 VENTAS-CIIU-2013'!$P$58:$AK$58</c:f>
              <c:numCache/>
            </c:numRef>
          </c:val>
          <c:smooth val="0"/>
        </c:ser>
        <c:ser>
          <c:idx val="1"/>
          <c:order val="1"/>
          <c:tx>
            <c:strRef>
              <c:f>'10.9 VENTAS-CIIU-2013'!$O$59</c:f>
              <c:strCache>
                <c:ptCount val="1"/>
                <c:pt idx="0">
                  <c:v>Comercial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'10.9 VENTAS-CIIU-2013'!$P$57:$AK$57</c:f>
              <c:numCache/>
            </c:numRef>
          </c:cat>
          <c:val>
            <c:numRef>
              <c:f>'10.9 VENTAS-CIIU-2013'!$P$59:$AK$59</c:f>
              <c:numCache/>
            </c:numRef>
          </c:val>
          <c:smooth val="0"/>
        </c:ser>
        <c:ser>
          <c:idx val="2"/>
          <c:order val="2"/>
          <c:tx>
            <c:strRef>
              <c:f>'10.9 VENTAS-CIIU-2013'!$O$60</c:f>
              <c:strCache>
                <c:ptCount val="1"/>
                <c:pt idx="0">
                  <c:v>Residencial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'10.9 VENTAS-CIIU-2013'!$P$57:$AK$57</c:f>
              <c:numCache/>
            </c:numRef>
          </c:cat>
          <c:val>
            <c:numRef>
              <c:f>'10.9 VENTAS-CIIU-2013'!$P$60:$AK$60</c:f>
              <c:numCache/>
            </c:numRef>
          </c:val>
          <c:smooth val="0"/>
        </c:ser>
        <c:ser>
          <c:idx val="3"/>
          <c:order val="3"/>
          <c:tx>
            <c:strRef>
              <c:f>'10.9 VENTAS-CIIU-2013'!$O$61</c:f>
              <c:strCache>
                <c:ptCount val="1"/>
                <c:pt idx="0">
                  <c:v>Alumbrado Público</c:v>
                </c:pt>
              </c:strCache>
            </c:strRef>
          </c:tx>
          <c:spPr>
            <a:ln w="127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C0"/>
              </a:solidFill>
              <a:ln>
                <a:solidFill>
                  <a:srgbClr val="0080C0"/>
                </a:solidFill>
              </a:ln>
            </c:spPr>
          </c:marker>
          <c:cat>
            <c:numRef>
              <c:f>'10.9 VENTAS-CIIU-2013'!$P$57:$AK$57</c:f>
              <c:numCache/>
            </c:numRef>
          </c:cat>
          <c:val>
            <c:numRef>
              <c:f>'10.9 VENTAS-CIIU-2013'!$P$61:$AK$61</c:f>
              <c:numCache/>
            </c:numRef>
          </c:val>
          <c:smooth val="0"/>
        </c:ser>
        <c:marker val="1"/>
        <c:axId val="52401744"/>
        <c:axId val="1853649"/>
      </c:lineChart>
      <c:catAx>
        <c:axId val="52401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0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3649"/>
        <c:crosses val="autoZero"/>
        <c:auto val="1"/>
        <c:lblOffset val="100"/>
        <c:tickLblSkip val="1"/>
        <c:noMultiLvlLbl val="0"/>
      </c:catAx>
      <c:valAx>
        <c:axId val="1853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14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01744"/>
        <c:crossesAt val="1"/>
        <c:crossBetween val="between"/>
        <c:dispUnits/>
        <c:majorUnit val="2000"/>
        <c:minorUnit val="4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75"/>
          <c:y val="0.94075"/>
          <c:w val="0.7745"/>
          <c:h val="0.0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FACTURACIÓN DE ENERGÍA ELÉCTRICA POR SECTORES DE CONSUMO  1995 - 2013</a:t>
            </a:r>
          </a:p>
        </c:rich>
      </c:tx>
      <c:layout>
        <c:manualLayout>
          <c:xMode val="factor"/>
          <c:yMode val="factor"/>
          <c:x val="0.034"/>
          <c:y val="-0.0185"/>
        </c:manualLayout>
      </c:layout>
      <c:spPr>
        <a:solidFill>
          <a:srgbClr val="000080"/>
        </a:solidFill>
        <a:ln w="3175">
          <a:noFill/>
        </a:ln>
      </c:spPr>
    </c:title>
    <c:plotArea>
      <c:layout>
        <c:manualLayout>
          <c:xMode val="edge"/>
          <c:yMode val="edge"/>
          <c:x val="0.021"/>
          <c:y val="0.1065"/>
          <c:w val="0.966"/>
          <c:h val="0.84525"/>
        </c:manualLayout>
      </c:layout>
      <c:areaChart>
        <c:grouping val="stacked"/>
        <c:varyColors val="0"/>
        <c:ser>
          <c:idx val="0"/>
          <c:order val="0"/>
          <c:tx>
            <c:strRef>
              <c:f>'10.10 FACT-SECTOR'!$B$6:$B$7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'10.10 FACT-SECTOR'!$A$8:$A$26</c:f>
              <c:numCache/>
            </c:numRef>
          </c:cat>
          <c:val>
            <c:numRef>
              <c:f>'10.10 FACT-SECTOR'!$B$8:$B$26</c:f>
              <c:numCache/>
            </c:numRef>
          </c:val>
        </c:ser>
        <c:ser>
          <c:idx val="1"/>
          <c:order val="1"/>
          <c:tx>
            <c:strRef>
              <c:f>'10.10 FACT-SECTOR'!$C$6:$C$7</c:f>
              <c:strCache>
                <c:ptCount val="1"/>
                <c:pt idx="0">
                  <c:v>Comercial</c:v>
                </c:pt>
              </c:strCache>
            </c:strRef>
          </c:tx>
          <c:spPr>
            <a:gradFill rotWithShape="1">
              <a:gsLst>
                <a:gs pos="0">
                  <a:srgbClr val="728F72"/>
                </a:gs>
                <a:gs pos="50000">
                  <a:srgbClr val="CCFFCC"/>
                </a:gs>
                <a:gs pos="100000">
                  <a:srgbClr val="728F72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'10.10 FACT-SECTOR'!$A$8:$A$26</c:f>
              <c:numCache/>
            </c:numRef>
          </c:cat>
          <c:val>
            <c:numRef>
              <c:f>'10.10 FACT-SECTOR'!$C$8:$C$26</c:f>
              <c:numCache/>
            </c:numRef>
          </c:val>
        </c:ser>
        <c:ser>
          <c:idx val="2"/>
          <c:order val="2"/>
          <c:tx>
            <c:strRef>
              <c:f>'10.10 FACT-SECTOR'!$D$6:$D$7</c:f>
              <c:strCache>
                <c:ptCount val="1"/>
                <c:pt idx="0">
                  <c:v>Residencial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'10.10 FACT-SECTOR'!$A$8:$A$26</c:f>
              <c:numCache/>
            </c:numRef>
          </c:cat>
          <c:val>
            <c:numRef>
              <c:f>'10.10 FACT-SECTOR'!$D$8:$D$26</c:f>
              <c:numCache/>
            </c:numRef>
          </c:val>
        </c:ser>
        <c:ser>
          <c:idx val="3"/>
          <c:order val="3"/>
          <c:tx>
            <c:strRef>
              <c:f>'10.10 FACT-SECTOR'!$E$6:$E$7</c:f>
              <c:strCache>
                <c:ptCount val="1"/>
                <c:pt idx="0">
                  <c:v>Alumbrado Público</c:v>
                </c:pt>
              </c:strCache>
            </c:strRef>
          </c:tx>
          <c:spPr>
            <a:gradFill rotWithShape="1">
              <a:gsLst>
                <a:gs pos="0">
                  <a:srgbClr val="A9A900"/>
                </a:gs>
                <a:gs pos="50000">
                  <a:srgbClr val="FFFF00"/>
                </a:gs>
                <a:gs pos="100000">
                  <a:srgbClr val="A9A9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'10.10 FACT-SECTOR'!$A$8:$A$26</c:f>
              <c:numCache/>
            </c:numRef>
          </c:cat>
          <c:val>
            <c:numRef>
              <c:f>'10.10 FACT-SECTOR'!$E$8:$E$26</c:f>
              <c:numCache/>
            </c:numRef>
          </c:val>
        </c:ser>
        <c:axId val="16682842"/>
        <c:axId val="15927851"/>
      </c:areaChart>
      <c:catAx>
        <c:axId val="16682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27851"/>
        <c:crosses val="autoZero"/>
        <c:auto val="1"/>
        <c:lblOffset val="100"/>
        <c:tickLblSkip val="1"/>
        <c:noMultiLvlLbl val="0"/>
      </c:catAx>
      <c:valAx>
        <c:axId val="15927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Miles US $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8284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POTENCIA INSTALADA - GENERADORAS PARA USO PROPIO 
1 995 - 2 013</a:t>
            </a:r>
          </a:p>
        </c:rich>
      </c:tx>
      <c:layout>
        <c:manualLayout>
          <c:xMode val="factor"/>
          <c:yMode val="factor"/>
          <c:x val="-0.00925"/>
          <c:y val="0.00625"/>
        </c:manualLayout>
      </c:layout>
      <c:spPr>
        <a:solidFill>
          <a:srgbClr val="000080"/>
        </a:solidFill>
        <a:ln w="3175">
          <a:noFill/>
        </a:ln>
      </c:spPr>
    </c:title>
    <c:plotArea>
      <c:layout>
        <c:manualLayout>
          <c:xMode val="edge"/>
          <c:yMode val="edge"/>
          <c:x val="0.0675"/>
          <c:y val="0.19275"/>
          <c:w val="0.8725"/>
          <c:h val="0.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 PI-2013'!$R$57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PI-2013'!$Q$58:$Q$76</c:f>
              <c:numCache/>
            </c:numRef>
          </c:cat>
          <c:val>
            <c:numRef>
              <c:f>'10.1 PI-2013'!$R$58:$R$76</c:f>
              <c:numCache/>
            </c:numRef>
          </c:val>
        </c:ser>
        <c:ser>
          <c:idx val="1"/>
          <c:order val="1"/>
          <c:tx>
            <c:strRef>
              <c:f>'10.1 PI-2013'!$S$57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PI-2013'!$Q$58:$Q$76</c:f>
              <c:numCache/>
            </c:numRef>
          </c:cat>
          <c:val>
            <c:numRef>
              <c:f>'10.1 PI-2013'!$S$58:$S$76</c:f>
              <c:numCache/>
            </c:numRef>
          </c:val>
        </c:ser>
        <c:ser>
          <c:idx val="2"/>
          <c:order val="2"/>
          <c:tx>
            <c:strRef>
              <c:f>'10.1 PI-2013'!$T$57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PI-2013'!$Q$58:$Q$76</c:f>
              <c:numCache/>
            </c:numRef>
          </c:cat>
          <c:val>
            <c:numRef>
              <c:f>'10.1 PI-2013'!$T$58:$T$76</c:f>
              <c:numCache/>
            </c:numRef>
          </c:val>
        </c:ser>
        <c:axId val="28823216"/>
        <c:axId val="58082353"/>
      </c:barChart>
      <c:catAx>
        <c:axId val="28823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82353"/>
        <c:crosses val="autoZero"/>
        <c:auto val="1"/>
        <c:lblOffset val="100"/>
        <c:tickLblSkip val="1"/>
        <c:noMultiLvlLbl val="0"/>
      </c:catAx>
      <c:valAx>
        <c:axId val="58082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232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625"/>
          <c:y val="0.88775"/>
          <c:w val="0.3522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PRECIO MEDIO DE ENERGÍA ELÉCTRICA POR SECTORES ECONÓMICOS  1 995 - 2 013</a:t>
            </a:r>
          </a:p>
        </c:rich>
      </c:tx>
      <c:layout>
        <c:manualLayout>
          <c:xMode val="factor"/>
          <c:yMode val="factor"/>
          <c:x val="0.0065"/>
          <c:y val="-0.02075"/>
        </c:manualLayout>
      </c:layout>
      <c:spPr>
        <a:solidFill>
          <a:srgbClr val="000080"/>
        </a:solidFill>
        <a:ln w="3175">
          <a:noFill/>
        </a:ln>
      </c:spPr>
    </c:title>
    <c:plotArea>
      <c:layout>
        <c:manualLayout>
          <c:xMode val="edge"/>
          <c:yMode val="edge"/>
          <c:x val="0.03375"/>
          <c:y val="0.1235"/>
          <c:w val="0.953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'10.11 PM-SECTOR'!$B$6</c:f>
              <c:strCache>
                <c:ptCount val="1"/>
                <c:pt idx="0">
                  <c:v>Industrial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A6CAF0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'10.11 PM-SECTOR'!$A$9:$A$27</c:f>
              <c:numCache/>
            </c:numRef>
          </c:cat>
          <c:val>
            <c:numRef>
              <c:f>'10.11 PM-SECTOR'!$B$9:$B$27</c:f>
              <c:numCache/>
            </c:numRef>
          </c:val>
          <c:smooth val="0"/>
        </c:ser>
        <c:ser>
          <c:idx val="1"/>
          <c:order val="1"/>
          <c:tx>
            <c:strRef>
              <c:f>'10.11 PM-SECTOR'!$C$6</c:f>
              <c:strCache>
                <c:ptCount val="1"/>
                <c:pt idx="0">
                  <c:v>Comercial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'10.11 PM-SECTOR'!$A$9:$A$27</c:f>
              <c:numCache/>
            </c:numRef>
          </c:cat>
          <c:val>
            <c:numRef>
              <c:f>'10.11 PM-SECTOR'!$C$9:$C$27</c:f>
              <c:numCache/>
            </c:numRef>
          </c:val>
          <c:smooth val="0"/>
        </c:ser>
        <c:ser>
          <c:idx val="2"/>
          <c:order val="2"/>
          <c:tx>
            <c:strRef>
              <c:f>'10.11 PM-SECTOR'!$D$6</c:f>
              <c:strCache>
                <c:ptCount val="1"/>
                <c:pt idx="0">
                  <c:v>Residencial</c:v>
                </c:pt>
              </c:strCache>
            </c:strRef>
          </c:tx>
          <c:spPr>
            <a:ln w="254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9999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'10.11 PM-SECTOR'!$A$9:$A$27</c:f>
              <c:numCache/>
            </c:numRef>
          </c:cat>
          <c:val>
            <c:numRef>
              <c:f>'10.11 PM-SECTOR'!$D$9:$D$27</c:f>
              <c:numCache/>
            </c:numRef>
          </c:val>
          <c:smooth val="0"/>
        </c:ser>
        <c:ser>
          <c:idx val="3"/>
          <c:order val="3"/>
          <c:tx>
            <c:strRef>
              <c:f>'10.11 PM-SECTOR'!$E$6</c:f>
              <c:strCache>
                <c:ptCount val="1"/>
                <c:pt idx="0">
                  <c:v>Alumbrado Público</c:v>
                </c:pt>
              </c:strCache>
            </c:strRef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'10.11 PM-SECTOR'!$A$9:$A$27</c:f>
              <c:numCache/>
            </c:numRef>
          </c:cat>
          <c:val>
            <c:numRef>
              <c:f>'10.11 PM-SECTOR'!$E$9:$E$27</c:f>
              <c:numCache/>
            </c:numRef>
          </c:val>
          <c:smooth val="0"/>
        </c:ser>
        <c:marker val="1"/>
        <c:axId val="9132932"/>
        <c:axId val="15087525"/>
      </c:lineChart>
      <c:catAx>
        <c:axId val="9132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087525"/>
        <c:crosses val="autoZero"/>
        <c:auto val="1"/>
        <c:lblOffset val="100"/>
        <c:tickLblSkip val="1"/>
        <c:noMultiLvlLbl val="0"/>
      </c:catAx>
      <c:valAx>
        <c:axId val="15087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Cent. US$/kW.h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329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325"/>
          <c:y val="0.94025"/>
          <c:w val="0.714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DEL CONSUMO DE ENERGÍA ELÉCTRICA POR TIPO DE EMPRESA
1995 - 2013</a:t>
            </a:r>
          </a:p>
        </c:rich>
      </c:tx>
      <c:layout>
        <c:manualLayout>
          <c:xMode val="factor"/>
          <c:yMode val="factor"/>
          <c:x val="0.02675"/>
          <c:y val="-0.00825"/>
        </c:manualLayout>
      </c:layout>
      <c:spPr>
        <a:solidFill>
          <a:srgbClr val="000080"/>
        </a:solidFill>
        <a:ln w="3175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4075"/>
          <c:y val="0.115"/>
          <c:w val="0.917"/>
          <c:h val="0.755"/>
        </c:manualLayout>
      </c:layout>
      <c:lineChart>
        <c:grouping val="standard"/>
        <c:varyColors val="0"/>
        <c:ser>
          <c:idx val="0"/>
          <c:order val="0"/>
          <c:tx>
            <c:v>Consumo total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'10.12 CONSUMO_2013 '!$B$8:$B$26</c:f>
              <c:numCache/>
            </c:numRef>
          </c:cat>
          <c:val>
            <c:numRef>
              <c:f>'10.12 CONSUMO_2013 '!$C$8:$C$26</c:f>
              <c:numCache/>
            </c:numRef>
          </c:val>
          <c:smooth val="0"/>
        </c:ser>
        <c:ser>
          <c:idx val="1"/>
          <c:order val="1"/>
          <c:tx>
            <c:v>Ventas Distribuidoras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'10.12 CONSUMO_2013 '!$B$8:$B$26</c:f>
              <c:numCache/>
            </c:numRef>
          </c:cat>
          <c:val>
            <c:numRef>
              <c:f>'10.12 CONSUMO_2013 '!$E$8:$E$26</c:f>
              <c:numCache/>
            </c:numRef>
          </c:val>
          <c:smooth val="0"/>
        </c:ser>
        <c:ser>
          <c:idx val="2"/>
          <c:order val="2"/>
          <c:tx>
            <c:v>Ventas Generadoras</c:v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999933"/>
                </a:solidFill>
              </a:ln>
            </c:spPr>
          </c:marker>
          <c:cat>
            <c:numRef>
              <c:f>'10.12 CONSUMO_2013 '!$B$8:$B$26</c:f>
              <c:numCache/>
            </c:numRef>
          </c:cat>
          <c:val>
            <c:numRef>
              <c:f>'10.12 CONSUMO_2013 '!$F$8:$F$26</c:f>
              <c:numCache/>
            </c:numRef>
          </c:val>
          <c:smooth val="0"/>
        </c:ser>
        <c:ser>
          <c:idx val="3"/>
          <c:order val="3"/>
          <c:tx>
            <c:strRef>
              <c:f>'10.12 CONSUMO_2013 '!$G$6:$G$7</c:f>
              <c:strCache>
                <c:ptCount val="1"/>
                <c:pt idx="0">
                  <c:v>Generación de uso propio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'10.12 CONSUMO_2013 '!$B$8:$B$26</c:f>
              <c:numCache/>
            </c:numRef>
          </c:cat>
          <c:val>
            <c:numRef>
              <c:f>'10.12 CONSUMO_2013 '!$G$8:$G$26</c:f>
              <c:numCache/>
            </c:numRef>
          </c:val>
          <c:smooth val="0"/>
        </c:ser>
        <c:marker val="1"/>
        <c:axId val="1569998"/>
        <c:axId val="14129983"/>
      </c:lineChart>
      <c:catAx>
        <c:axId val="1569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29983"/>
        <c:crosses val="autoZero"/>
        <c:auto val="1"/>
        <c:lblOffset val="100"/>
        <c:tickLblSkip val="1"/>
        <c:noMultiLvlLbl val="0"/>
      </c:catAx>
      <c:valAx>
        <c:axId val="14129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999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125"/>
          <c:y val="0.905"/>
          <c:w val="0.6365"/>
          <c:h val="0.08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DEL CONSUMO DE ENERGÍA ELÉCTRICA TIPO DE  SERVICIO
1995 - 2013</a:t>
            </a:r>
          </a:p>
        </c:rich>
      </c:tx>
      <c:layout>
        <c:manualLayout>
          <c:xMode val="factor"/>
          <c:yMode val="factor"/>
          <c:x val="0.039"/>
          <c:y val="-0.0095"/>
        </c:manualLayout>
      </c:layout>
      <c:spPr>
        <a:solidFill>
          <a:srgbClr val="000080"/>
        </a:solidFill>
        <a:ln w="3175">
          <a:noFill/>
        </a:ln>
      </c:spPr>
    </c:title>
    <c:plotArea>
      <c:layout>
        <c:manualLayout>
          <c:xMode val="edge"/>
          <c:yMode val="edge"/>
          <c:x val="0.052"/>
          <c:y val="0.13225"/>
          <c:w val="0.90975"/>
          <c:h val="0.768"/>
        </c:manualLayout>
      </c:layout>
      <c:areaChart>
        <c:grouping val="stacked"/>
        <c:varyColors val="0"/>
        <c:ser>
          <c:idx val="0"/>
          <c:order val="0"/>
          <c:tx>
            <c:strRef>
              <c:f>'10.12 CONSUMO_2013 '!$D$6:$F$6</c:f>
              <c:strCache>
                <c:ptCount val="1"/>
                <c:pt idx="0">
                  <c:v>Ventas a Cliente Final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'10.12 CONSUMO_2013 '!$B$8:$B$26</c:f>
              <c:numCache/>
            </c:numRef>
          </c:cat>
          <c:val>
            <c:numRef>
              <c:f>'10.12 CONSUMO_2013 '!$D$8:$D$26</c:f>
              <c:numCache/>
            </c:numRef>
          </c:val>
        </c:ser>
        <c:ser>
          <c:idx val="3"/>
          <c:order val="1"/>
          <c:tx>
            <c:strRef>
              <c:f>'10.12 CONSUMO_2013 '!$G$6:$G$7</c:f>
              <c:strCache>
                <c:ptCount val="1"/>
                <c:pt idx="0">
                  <c:v>Generación de uso propio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'10.12 CONSUMO_2013 '!$B$8:$B$26</c:f>
              <c:numCache/>
            </c:numRef>
          </c:cat>
          <c:val>
            <c:numRef>
              <c:f>'10.12 CONSUMO_2013 '!$G$8:$G$26</c:f>
              <c:numCache/>
            </c:numRef>
          </c:val>
        </c:ser>
        <c:axId val="60060984"/>
        <c:axId val="3677945"/>
      </c:areaChart>
      <c:catAx>
        <c:axId val="60060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5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77945"/>
        <c:crosses val="autoZero"/>
        <c:auto val="1"/>
        <c:lblOffset val="100"/>
        <c:tickLblSkip val="1"/>
        <c:noMultiLvlLbl val="0"/>
      </c:catAx>
      <c:valAx>
        <c:axId val="3677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609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8"/>
          <c:y val="0.92475"/>
          <c:w val="0.56525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DEL NÚMERO DE CLIENTES EN EL MERCADO LIBRE </a:t>
            </a:r>
          </a:p>
        </c:rich>
      </c:tx>
      <c:layout>
        <c:manualLayout>
          <c:xMode val="factor"/>
          <c:yMode val="factor"/>
          <c:x val="0.01325"/>
          <c:y val="-0.006"/>
        </c:manualLayout>
      </c:layout>
      <c:spPr>
        <a:solidFill>
          <a:srgbClr val="000080"/>
        </a:solidFill>
        <a:ln w="3175">
          <a:solidFill>
            <a:srgbClr val="000080"/>
          </a:solidFill>
        </a:ln>
      </c:spPr>
    </c:title>
    <c:view3D>
      <c:rotX val="1"/>
      <c:hPercent val="38"/>
      <c:rotY val="0"/>
      <c:depthPercent val="100"/>
      <c:rAngAx val="1"/>
    </c:view3D>
    <c:plotArea>
      <c:layout>
        <c:manualLayout>
          <c:xMode val="edge"/>
          <c:yMode val="edge"/>
          <c:x val="0.01875"/>
          <c:y val="0.11875"/>
          <c:w val="0.9775"/>
          <c:h val="0.76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'10.13 CLIENTES-2013'!$AD$40</c:f>
              <c:strCache>
                <c:ptCount val="1"/>
                <c:pt idx="0">
                  <c:v>MAT</c:v>
                </c:pt>
              </c:strCache>
            </c:strRef>
          </c:tx>
          <c:spPr>
            <a:gradFill rotWithShape="1">
              <a:gsLst>
                <a:gs pos="0">
                  <a:srgbClr val="765E00"/>
                </a:gs>
                <a:gs pos="50000">
                  <a:srgbClr val="FFCC00"/>
                </a:gs>
                <a:gs pos="100000">
                  <a:srgbClr val="76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'10.13 CLIENTES-2013'!$AC$41:$AC$56</c:f>
              <c:numCache/>
            </c:numRef>
          </c:cat>
          <c:val>
            <c:numRef>
              <c:f>'10.13 CLIENTES-2013'!$AD$41:$AD$56</c:f>
              <c:numCache/>
            </c:numRef>
          </c:val>
          <c:shape val="box"/>
        </c:ser>
        <c:ser>
          <c:idx val="1"/>
          <c:order val="1"/>
          <c:tx>
            <c:strRef>
              <c:f>'10.13 CLIENTES-2013'!$AE$40</c:f>
              <c:strCache>
                <c:ptCount val="1"/>
                <c:pt idx="0">
                  <c:v>AT</c:v>
                </c:pt>
              </c:strCache>
            </c:strRef>
          </c:tx>
          <c:spPr>
            <a:gradFill rotWithShape="1">
              <a:gsLst>
                <a:gs pos="0">
                  <a:srgbClr val="760000"/>
                </a:gs>
                <a:gs pos="50000">
                  <a:srgbClr val="FF0000"/>
                </a:gs>
                <a:gs pos="100000">
                  <a:srgbClr val="76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'10.13 CLIENTES-2013'!$AC$41:$AC$56</c:f>
              <c:numCache/>
            </c:numRef>
          </c:cat>
          <c:val>
            <c:numRef>
              <c:f>'10.13 CLIENTES-2013'!$AE$41:$AE$56</c:f>
              <c:numCache/>
            </c:numRef>
          </c:val>
          <c:shape val="box"/>
        </c:ser>
        <c:ser>
          <c:idx val="2"/>
          <c:order val="2"/>
          <c:tx>
            <c:strRef>
              <c:f>'10.13 CLIENTES-2013'!$AF$40</c:f>
              <c:strCache>
                <c:ptCount val="1"/>
                <c:pt idx="0">
                  <c:v>MT</c:v>
                </c:pt>
              </c:strCache>
            </c:strRef>
          </c:tx>
          <c:spPr>
            <a:gradFill rotWithShape="1">
              <a:gsLst>
                <a:gs pos="0">
                  <a:srgbClr val="767600"/>
                </a:gs>
                <a:gs pos="50000">
                  <a:srgbClr val="FFFF00"/>
                </a:gs>
                <a:gs pos="100000">
                  <a:srgbClr val="7676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'10.13 CLIENTES-2013'!$AC$41:$AC$56</c:f>
              <c:numCache/>
            </c:numRef>
          </c:cat>
          <c:val>
            <c:numRef>
              <c:f>'10.13 CLIENTES-2013'!$AF$41:$AF$56</c:f>
              <c:numCache/>
            </c:numRef>
          </c:val>
          <c:shape val="box"/>
        </c:ser>
        <c:shape val="box"/>
        <c:axId val="33101506"/>
        <c:axId val="29478099"/>
      </c:bar3DChart>
      <c:catAx>
        <c:axId val="3310150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90000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78099"/>
        <c:crosses val="autoZero"/>
        <c:auto val="1"/>
        <c:lblOffset val="100"/>
        <c:tickLblSkip val="1"/>
        <c:noMultiLvlLbl val="0"/>
      </c:catAx>
      <c:valAx>
        <c:axId val="29478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de Clientes</a:t>
                </a:r>
              </a:p>
            </c:rich>
          </c:tx>
          <c:layout>
            <c:manualLayout>
              <c:xMode val="factor"/>
              <c:yMode val="factor"/>
              <c:x val="-0.052"/>
              <c:y val="0.0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01506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025"/>
          <c:w val="0.2995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969696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DEL NÚMERO DE CLIENTES EN EL MERCADO REGULADO </a:t>
            </a:r>
          </a:p>
        </c:rich>
      </c:tx>
      <c:layout>
        <c:manualLayout>
          <c:xMode val="factor"/>
          <c:yMode val="factor"/>
          <c:x val="0.0145"/>
          <c:y val="-0.00325"/>
        </c:manualLayout>
      </c:layout>
      <c:spPr>
        <a:solidFill>
          <a:srgbClr val="000080"/>
        </a:solidFill>
        <a:ln w="3175">
          <a:solidFill>
            <a:srgbClr val="000080"/>
          </a:solidFill>
        </a:ln>
      </c:spPr>
    </c:title>
    <c:view3D>
      <c:rotX val="0"/>
      <c:hPercent val="37"/>
      <c:rotY val="0"/>
      <c:depthPercent val="100"/>
      <c:rAngAx val="1"/>
    </c:view3D>
    <c:plotArea>
      <c:layout>
        <c:manualLayout>
          <c:xMode val="edge"/>
          <c:yMode val="edge"/>
          <c:x val="0.0035"/>
          <c:y val="0.14075"/>
          <c:w val="0.99475"/>
          <c:h val="0.8592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'10.13 CLIENTES-2013'!$AM$40</c:f>
              <c:strCache>
                <c:ptCount val="1"/>
                <c:pt idx="0">
                  <c:v>BT</c:v>
                </c:pt>
              </c:strCache>
            </c:strRef>
          </c:tx>
          <c:spPr>
            <a:gradFill rotWithShape="1">
              <a:gsLst>
                <a:gs pos="0">
                  <a:srgbClr val="765E00"/>
                </a:gs>
                <a:gs pos="50000">
                  <a:srgbClr val="FFCC00"/>
                </a:gs>
                <a:gs pos="100000">
                  <a:srgbClr val="76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'10.13 CLIENTES-2013'!$AC$41:$AC$56</c:f>
              <c:numCache/>
            </c:numRef>
          </c:cat>
          <c:val>
            <c:numRef>
              <c:f>'10.13 CLIENTES-2013'!$AM$41:$AM$56</c:f>
              <c:numCache/>
            </c:numRef>
          </c:val>
          <c:shape val="box"/>
        </c:ser>
        <c:gapWidth val="180"/>
        <c:shape val="box"/>
        <c:axId val="63976300"/>
        <c:axId val="38915789"/>
      </c:bar3DChart>
      <c:catAx>
        <c:axId val="63976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BAJA TENSIÓN</a:t>
                </a:r>
              </a:p>
            </c:rich>
          </c:tx>
          <c:layout>
            <c:manualLayout>
              <c:xMode val="factor"/>
              <c:yMode val="factor"/>
              <c:x val="0.0085"/>
              <c:y val="0.0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15789"/>
        <c:crosses val="autoZero"/>
        <c:auto val="1"/>
        <c:lblOffset val="100"/>
        <c:tickLblSkip val="1"/>
        <c:noMultiLvlLbl val="0"/>
      </c:catAx>
      <c:valAx>
        <c:axId val="38915789"/>
        <c:scaling>
          <c:orientation val="minMax"/>
        </c:scaling>
        <c:axPos val="l"/>
        <c:title>
          <c:tx>
            <c:rich>
              <a:bodyPr vert="horz" rot="-534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de Clientes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6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7630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969696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PORCENTAJE DE PÉRDIDAS DE ENERGÍA ELÉCTRICA EN  DISTRIBUCIÓN (%)</a:t>
            </a:r>
          </a:p>
        </c:rich>
      </c:tx>
      <c:layout>
        <c:manualLayout>
          <c:xMode val="factor"/>
          <c:yMode val="factor"/>
          <c:x val="0.02825"/>
          <c:y val="-0.003"/>
        </c:manualLayout>
      </c:layout>
      <c:spPr>
        <a:solidFill>
          <a:srgbClr val="000080"/>
        </a:solidFill>
        <a:ln w="3175">
          <a:noFill/>
        </a:ln>
      </c:spPr>
    </c:title>
    <c:plotArea>
      <c:layout>
        <c:manualLayout>
          <c:xMode val="edge"/>
          <c:yMode val="edge"/>
          <c:x val="0.0425"/>
          <c:y val="0.1155"/>
          <c:w val="0.93075"/>
          <c:h val="0.753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'10.14 -10.15  y 10.16'!$A$38:$A$57</c:f>
              <c:numCache/>
            </c:numRef>
          </c:cat>
          <c:val>
            <c:numRef>
              <c:f>'10.14 -10.15  y 10.16'!$B$38:$B$57</c:f>
              <c:numCache/>
            </c:numRef>
          </c:val>
          <c:smooth val="0"/>
        </c:ser>
        <c:marker val="1"/>
        <c:axId val="14697782"/>
        <c:axId val="65171175"/>
      </c:lineChart>
      <c:catAx>
        <c:axId val="14697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5171175"/>
        <c:crossesAt val="0"/>
        <c:auto val="1"/>
        <c:lblOffset val="100"/>
        <c:tickLblSkip val="1"/>
        <c:noMultiLvlLbl val="0"/>
      </c:catAx>
      <c:valAx>
        <c:axId val="65171175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2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4697782"/>
        <c:crossesAt val="1"/>
        <c:crossBetween val="midCat"/>
        <c:dispUnits/>
        <c:majorUnit val="5"/>
        <c:minorUnit val="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 LA MÁXIMA DEMANDA</a:t>
            </a:r>
          </a:p>
        </c:rich>
      </c:tx>
      <c:layout>
        <c:manualLayout>
          <c:xMode val="factor"/>
          <c:yMode val="factor"/>
          <c:x val="0.0045"/>
          <c:y val="0.00925"/>
        </c:manualLayout>
      </c:layout>
      <c:spPr>
        <a:solidFill>
          <a:srgbClr val="000080"/>
        </a:solidFill>
        <a:ln w="3175">
          <a:noFill/>
        </a:ln>
      </c:spPr>
    </c:title>
    <c:plotArea>
      <c:layout>
        <c:manualLayout>
          <c:xMode val="edge"/>
          <c:yMode val="edge"/>
          <c:x val="0.05275"/>
          <c:y val="0.1105"/>
          <c:w val="0.927"/>
          <c:h val="0.82375"/>
        </c:manualLayout>
      </c:layout>
      <c:lineChart>
        <c:grouping val="standard"/>
        <c:varyColors val="0"/>
        <c:ser>
          <c:idx val="1"/>
          <c:order val="0"/>
          <c:tx>
            <c:strRef>
              <c:f>'10.14 -10.15  y 10.16'!$A$67:$C$67</c:f>
              <c:strCache>
                <c:ptCount val="1"/>
                <c:pt idx="0">
                  <c:v>Año Máxima Demanda (MW) </c:v>
                </c:pt>
              </c:strCache>
            </c:strRef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33"/>
              </a:solidFill>
              <a:ln>
                <a:solidFill>
                  <a:srgbClr val="9999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99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'10.14 -10.15  y 10.16'!$A$69:$A$87</c:f>
              <c:strCache/>
            </c:strRef>
          </c:cat>
          <c:val>
            <c:numRef>
              <c:f>'10.14 -10.15  y 10.16'!$B$69:$B$87</c:f>
              <c:numCache/>
            </c:numRef>
          </c:val>
          <c:smooth val="0"/>
        </c:ser>
        <c:marker val="1"/>
        <c:axId val="49669664"/>
        <c:axId val="44373793"/>
      </c:lineChart>
      <c:catAx>
        <c:axId val="49669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73793"/>
        <c:crossesAt val="0"/>
        <c:auto val="1"/>
        <c:lblOffset val="100"/>
        <c:tickLblSkip val="1"/>
        <c:noMultiLvlLbl val="0"/>
      </c:catAx>
      <c:valAx>
        <c:axId val="44373793"/>
        <c:scaling>
          <c:orientation val="minMax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(MW)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69664"/>
        <c:crossesAt val="1"/>
        <c:crossBetween val="midCat"/>
        <c:dispUnits/>
        <c:majorUnit val="500"/>
        <c:minorUnit val="5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 NÚMERO DE TRABAJADORES POR ACTIVIDAD</a:t>
            </a:r>
          </a:p>
        </c:rich>
      </c:tx>
      <c:layout>
        <c:manualLayout>
          <c:xMode val="factor"/>
          <c:yMode val="factor"/>
          <c:x val="0.0105"/>
          <c:y val="0.01625"/>
        </c:manualLayout>
      </c:layout>
      <c:spPr>
        <a:solidFill>
          <a:srgbClr val="000080"/>
        </a:solidFill>
        <a:ln w="3175">
          <a:noFill/>
        </a:ln>
      </c:spPr>
    </c:title>
    <c:plotArea>
      <c:layout>
        <c:manualLayout>
          <c:xMode val="edge"/>
          <c:yMode val="edge"/>
          <c:x val="0.046"/>
          <c:y val="0.162"/>
          <c:w val="0.9195"/>
          <c:h val="0.69975"/>
        </c:manualLayout>
      </c:layout>
      <c:lineChart>
        <c:grouping val="standard"/>
        <c:varyColors val="0"/>
        <c:ser>
          <c:idx val="0"/>
          <c:order val="0"/>
          <c:tx>
            <c:strRef>
              <c:f>'10.14 -10.15  y 10.16'!$B$7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'10.14 -10.15  y 10.16'!$A$8:$A$26</c:f>
              <c:numCache/>
            </c:numRef>
          </c:cat>
          <c:val>
            <c:numRef>
              <c:f>'10.14 -10.15  y 10.16'!$B$8:$B$26</c:f>
              <c:numCache/>
            </c:numRef>
          </c:val>
          <c:smooth val="0"/>
        </c:ser>
        <c:ser>
          <c:idx val="1"/>
          <c:order val="1"/>
          <c:tx>
            <c:strRef>
              <c:f>'10.14 -10.15  y 10.16'!$C$7</c:f>
              <c:strCache>
                <c:ptCount val="1"/>
                <c:pt idx="0">
                  <c:v>Generadoras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'10.14 -10.15  y 10.16'!$A$8:$A$26</c:f>
              <c:numCache/>
            </c:numRef>
          </c:cat>
          <c:val>
            <c:numRef>
              <c:f>'10.14 -10.15  y 10.16'!$C$8:$C$26</c:f>
              <c:numCache/>
            </c:numRef>
          </c:val>
          <c:smooth val="0"/>
        </c:ser>
        <c:ser>
          <c:idx val="2"/>
          <c:order val="2"/>
          <c:tx>
            <c:strRef>
              <c:f>'10.14 -10.15  y 10.16'!$D$7</c:f>
              <c:strCache>
                <c:ptCount val="1"/>
                <c:pt idx="0">
                  <c:v>Transmisoras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'10.14 -10.15  y 10.16'!$A$8:$A$26</c:f>
              <c:numCache/>
            </c:numRef>
          </c:cat>
          <c:val>
            <c:numRef>
              <c:f>'10.14 -10.15  y 10.16'!$D$8:$D$26</c:f>
              <c:numCache/>
            </c:numRef>
          </c:val>
          <c:smooth val="0"/>
        </c:ser>
        <c:ser>
          <c:idx val="3"/>
          <c:order val="3"/>
          <c:tx>
            <c:strRef>
              <c:f>'10.14 -10.15  y 10.16'!$E$7</c:f>
              <c:strCache>
                <c:ptCount val="1"/>
                <c:pt idx="0">
                  <c:v>Distribuidoras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66"/>
              </a:solidFill>
              <a:ln>
                <a:solidFill>
                  <a:srgbClr val="3399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'10.14 -10.15  y 10.16'!$A$8:$A$26</c:f>
              <c:numCache/>
            </c:numRef>
          </c:cat>
          <c:val>
            <c:numRef>
              <c:f>'10.14 -10.15  y 10.16'!$E$8:$E$26</c:f>
              <c:numCache/>
            </c:numRef>
          </c:val>
          <c:smooth val="0"/>
        </c:ser>
        <c:marker val="1"/>
        <c:axId val="63819818"/>
        <c:axId val="37507451"/>
      </c:lineChart>
      <c:catAx>
        <c:axId val="63819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07451"/>
        <c:crosses val="autoZero"/>
        <c:auto val="1"/>
        <c:lblOffset val="100"/>
        <c:tickLblSkip val="1"/>
        <c:noMultiLvlLbl val="0"/>
      </c:catAx>
      <c:valAx>
        <c:axId val="375074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19818"/>
        <c:crossesAt val="1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16625"/>
          <c:y val="0.9055"/>
          <c:w val="0.72"/>
          <c:h val="0.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 LAS INVERSIONES EN EL SECTOR ELÉCTRICO
(ESTATAL, PRIVADA Y ELECTRIFICACIÓN RURAL)
PERÍODO 1990 - 2013</a:t>
            </a:r>
          </a:p>
        </c:rich>
      </c:tx>
      <c:layout>
        <c:manualLayout>
          <c:xMode val="factor"/>
          <c:yMode val="factor"/>
          <c:x val="-0.00325"/>
          <c:y val="-0.0215"/>
        </c:manualLayout>
      </c:layout>
      <c:spPr>
        <a:solidFill>
          <a:srgbClr val="000080"/>
        </a:solidFill>
        <a:ln w="3175">
          <a:noFill/>
        </a:ln>
      </c:spPr>
    </c:title>
    <c:plotArea>
      <c:layout>
        <c:manualLayout>
          <c:xMode val="edge"/>
          <c:yMode val="edge"/>
          <c:x val="0.05375"/>
          <c:y val="0.129"/>
          <c:w val="0.9315"/>
          <c:h val="0.7335"/>
        </c:manualLayout>
      </c:layout>
      <c:lineChart>
        <c:grouping val="standard"/>
        <c:varyColors val="0"/>
        <c:ser>
          <c:idx val="1"/>
          <c:order val="0"/>
          <c:tx>
            <c:strRef>
              <c:f>'10.17.4 Evo.Graficos'!$B$17</c:f>
              <c:strCache>
                <c:ptCount val="1"/>
                <c:pt idx="0">
                  <c:v>Estatal</c:v>
                </c:pt>
              </c:strCache>
            </c:strRef>
          </c:tx>
          <c:spPr>
            <a:ln w="12700">
              <a:solidFill>
                <a:srgbClr val="33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66"/>
              </a:solidFill>
              <a:ln>
                <a:solidFill>
                  <a:srgbClr val="3399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3399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'10.17.4 Evo.Graficos'!$C$16:$Z$16</c:f>
              <c:numCache/>
            </c:numRef>
          </c:cat>
          <c:val>
            <c:numRef>
              <c:f>'10.17.4 Evo.Graficos'!$C$17:$Z$17</c:f>
              <c:numCache/>
            </c:numRef>
          </c:val>
          <c:smooth val="0"/>
        </c:ser>
        <c:ser>
          <c:idx val="3"/>
          <c:order val="1"/>
          <c:tx>
            <c:strRef>
              <c:f>'10.17.4 Evo.Graficos'!$B$18</c:f>
              <c:strCache>
                <c:ptCount val="1"/>
                <c:pt idx="0">
                  <c:v>Privada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C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6666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'10.17.4 Evo.Graficos'!$C$16:$Z$16</c:f>
              <c:numCache/>
            </c:numRef>
          </c:cat>
          <c:val>
            <c:numRef>
              <c:f>'10.17.4 Evo.Graficos'!$C$18:$Z$18</c:f>
              <c:numCache/>
            </c:numRef>
          </c:val>
          <c:smooth val="0"/>
        </c:ser>
        <c:ser>
          <c:idx val="2"/>
          <c:order val="2"/>
          <c:tx>
            <c:strRef>
              <c:f>'10.17.4 Evo.Graficos'!$B$19</c:f>
              <c:strCache>
                <c:ptCount val="1"/>
                <c:pt idx="0">
                  <c:v>Rural (*)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8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66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66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66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66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'10.17.4 Evo.Graficos'!$C$16:$Z$16</c:f>
              <c:numCache/>
            </c:numRef>
          </c:cat>
          <c:val>
            <c:numRef>
              <c:f>'10.17.4 Evo.Graficos'!$C$19:$Z$19</c:f>
              <c:numCache/>
            </c:numRef>
          </c:val>
          <c:smooth val="0"/>
        </c:ser>
        <c:ser>
          <c:idx val="4"/>
          <c:order val="3"/>
          <c:tx>
            <c:v>Total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000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'10.17.4 Evo.Graficos'!$C$16:$Z$16</c:f>
              <c:numCache/>
            </c:numRef>
          </c:cat>
          <c:val>
            <c:numRef>
              <c:f>'10.17.4 Evo.Graficos'!$C$10:$Z$10</c:f>
              <c:numCache/>
            </c:numRef>
          </c:val>
          <c:smooth val="0"/>
        </c:ser>
        <c:marker val="1"/>
        <c:axId val="2022740"/>
        <c:axId val="18204661"/>
      </c:lineChart>
      <c:catAx>
        <c:axId val="2022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04661"/>
        <c:crosses val="autoZero"/>
        <c:auto val="1"/>
        <c:lblOffset val="100"/>
        <c:tickLblSkip val="1"/>
        <c:noMultiLvlLbl val="0"/>
      </c:catAx>
      <c:valAx>
        <c:axId val="18204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US$
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3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27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925"/>
          <c:y val="0.931"/>
          <c:w val="0.49775"/>
          <c:h val="0.0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 LAS INVERSIONES EJECUTADAS 
POR LA DIRECCIÓN GENERAL DE ELECTRIFICACIÓN RURAL
PERÍODO 1990 - 2013</a:t>
            </a:r>
          </a:p>
        </c:rich>
      </c:tx>
      <c:layout>
        <c:manualLayout>
          <c:xMode val="factor"/>
          <c:yMode val="factor"/>
          <c:x val="-0.00325"/>
          <c:y val="-0.01725"/>
        </c:manualLayout>
      </c:layout>
      <c:spPr>
        <a:solidFill>
          <a:srgbClr val="000080"/>
        </a:solidFill>
        <a:ln w="3175">
          <a:noFill/>
        </a:ln>
      </c:spPr>
    </c:title>
    <c:plotArea>
      <c:layout>
        <c:manualLayout>
          <c:xMode val="edge"/>
          <c:yMode val="edge"/>
          <c:x val="0.0615"/>
          <c:y val="0.157"/>
          <c:w val="0.91575"/>
          <c:h val="0.79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'10.17.4 Evo.Graficos'!$B$19</c:f>
              <c:strCache>
                <c:ptCount val="1"/>
                <c:pt idx="0">
                  <c:v>Rural (*)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'10.17.4 Evo.Graficos'!$C$16:$Z$16</c:f>
              <c:numCache/>
            </c:numRef>
          </c:cat>
          <c:val>
            <c:numRef>
              <c:f>'10.17.4 Evo.Graficos'!$C$19:$Z$19</c:f>
              <c:numCache/>
            </c:numRef>
          </c:val>
        </c:ser>
        <c:axId val="29624222"/>
        <c:axId val="65291407"/>
      </c:barChart>
      <c:catAx>
        <c:axId val="29624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91407"/>
        <c:crosses val="autoZero"/>
        <c:auto val="1"/>
        <c:lblOffset val="100"/>
        <c:tickLblSkip val="1"/>
        <c:noMultiLvlLbl val="0"/>
      </c:catAx>
      <c:valAx>
        <c:axId val="65291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de US$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2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242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EVOLUCIÓN DE POTENCIA INSTALADA 1 995 - 2 013</a:t>
            </a:r>
          </a:p>
        </c:rich>
      </c:tx>
      <c:layout>
        <c:manualLayout>
          <c:xMode val="factor"/>
          <c:yMode val="factor"/>
          <c:x val="-0.03575"/>
          <c:y val="0.06175"/>
        </c:manualLayout>
      </c:layout>
      <c:spPr>
        <a:solidFill>
          <a:srgbClr val="000080"/>
        </a:solidFill>
        <a:ln w="3175">
          <a:noFill/>
        </a:ln>
      </c:spPr>
    </c:title>
    <c:plotArea>
      <c:layout>
        <c:manualLayout>
          <c:xMode val="edge"/>
          <c:yMode val="edge"/>
          <c:x val="0.07775"/>
          <c:y val="0.199"/>
          <c:w val="0.8615"/>
          <c:h val="0.6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 PI-2013'!$R$6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PI-2013'!$Q$7:$Q$25</c:f>
              <c:numCache/>
            </c:numRef>
          </c:cat>
          <c:val>
            <c:numRef>
              <c:f>'10.1 PI-2013'!$R$7:$R$25</c:f>
              <c:numCache/>
            </c:numRef>
          </c:val>
        </c:ser>
        <c:ser>
          <c:idx val="1"/>
          <c:order val="1"/>
          <c:tx>
            <c:strRef>
              <c:f>'10.1 PI-2013'!$S$6</c:f>
              <c:strCache>
                <c:ptCount val="1"/>
                <c:pt idx="0">
                  <c:v>Hidro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PI-2013'!$Q$7:$Q$25</c:f>
              <c:numCache/>
            </c:numRef>
          </c:cat>
          <c:val>
            <c:numRef>
              <c:f>'10.1 PI-2013'!$S$7:$S$25</c:f>
              <c:numCache/>
            </c:numRef>
          </c:val>
        </c:ser>
        <c:ser>
          <c:idx val="2"/>
          <c:order val="2"/>
          <c:tx>
            <c:strRef>
              <c:f>'10.1 PI-2013'!$T$6</c:f>
              <c:strCache>
                <c:ptCount val="1"/>
                <c:pt idx="0">
                  <c:v>Termo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PI-2013'!$Q$7:$Q$25</c:f>
              <c:numCache/>
            </c:numRef>
          </c:cat>
          <c:val>
            <c:numRef>
              <c:f>'10.1 PI-2013'!$T$7:$T$25</c:f>
              <c:numCache/>
            </c:numRef>
          </c:val>
        </c:ser>
        <c:ser>
          <c:idx val="3"/>
          <c:order val="3"/>
          <c:tx>
            <c:strRef>
              <c:f>'10.1 PI-2013'!$U$6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PI-2013'!$Q$7:$Q$25</c:f>
              <c:numCache/>
            </c:numRef>
          </c:cat>
          <c:val>
            <c:numRef>
              <c:f>'10.1 PI-2013'!$U$7:$U$25</c:f>
              <c:numCache/>
            </c:numRef>
          </c:val>
        </c:ser>
        <c:axId val="52979130"/>
        <c:axId val="7050123"/>
      </c:barChart>
      <c:catAx>
        <c:axId val="52979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50123"/>
        <c:crosses val="autoZero"/>
        <c:auto val="1"/>
        <c:lblOffset val="100"/>
        <c:tickLblSkip val="1"/>
        <c:noMultiLvlLbl val="0"/>
      </c:catAx>
      <c:valAx>
        <c:axId val="7050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791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175"/>
          <c:y val="0.835"/>
          <c:w val="0.652"/>
          <c:h val="0.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 LAS INVERSIONES DE LAS EMPRESAS GENERADORAS
PERÍODO 1990 - 2013</a:t>
            </a:r>
          </a:p>
        </c:rich>
      </c:tx>
      <c:layout>
        <c:manualLayout>
          <c:xMode val="factor"/>
          <c:yMode val="factor"/>
          <c:x val="-0.01475"/>
          <c:y val="0.02175"/>
        </c:manualLayout>
      </c:layout>
      <c:spPr>
        <a:solidFill>
          <a:srgbClr val="000080"/>
        </a:solidFill>
        <a:ln w="3175">
          <a:noFill/>
        </a:ln>
      </c:spPr>
    </c:title>
    <c:plotArea>
      <c:layout>
        <c:manualLayout>
          <c:xMode val="edge"/>
          <c:yMode val="edge"/>
          <c:x val="0.0555"/>
          <c:y val="0.14475"/>
          <c:w val="0.8955"/>
          <c:h val="0.718"/>
        </c:manualLayout>
      </c:layout>
      <c:lineChart>
        <c:grouping val="standard"/>
        <c:varyColors val="0"/>
        <c:ser>
          <c:idx val="1"/>
          <c:order val="0"/>
          <c:tx>
            <c:strRef>
              <c:f>'10.17.4 Evo.Graficos'!$AF$33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33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66"/>
              </a:solidFill>
              <a:ln>
                <a:solidFill>
                  <a:srgbClr val="3399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'10.17.4 Evo.Graficos'!$AG$32:$BD$32</c:f>
              <c:numCache/>
            </c:numRef>
          </c:cat>
          <c:val>
            <c:numRef>
              <c:f>'10.17.4 Evo.Graficos'!$AG$33:$BD$33</c:f>
              <c:numCache/>
            </c:numRef>
          </c:val>
          <c:smooth val="0"/>
        </c:ser>
        <c:ser>
          <c:idx val="0"/>
          <c:order val="1"/>
          <c:tx>
            <c:strRef>
              <c:f>'10.17.4 Evo.Graficos'!$AF$34</c:f>
              <c:strCache>
                <c:ptCount val="1"/>
                <c:pt idx="0">
                  <c:v>Privada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'10.17.4 Evo.Graficos'!$AG$32:$BD$32</c:f>
              <c:numCache/>
            </c:numRef>
          </c:cat>
          <c:val>
            <c:numRef>
              <c:f>'10.17.4 Evo.Graficos'!$AG$34:$BD$34</c:f>
              <c:numCache/>
            </c:numRef>
          </c:val>
          <c:smooth val="0"/>
        </c:ser>
        <c:ser>
          <c:idx val="2"/>
          <c:order val="2"/>
          <c:tx>
            <c:strRef>
              <c:f>'10.17.4 Evo.Graficos'!$AF$35</c:f>
              <c:strCache>
                <c:ptCount val="1"/>
                <c:pt idx="0">
                  <c:v>Publica</c:v>
                </c:pt>
              </c:strCache>
            </c:strRef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'10.17.4 Evo.Graficos'!$AG$32:$BD$32</c:f>
              <c:numCache/>
            </c:numRef>
          </c:cat>
          <c:val>
            <c:numRef>
              <c:f>'10.17.4 Evo.Graficos'!$AG$35:$BD$35</c:f>
              <c:numCache/>
            </c:numRef>
          </c:val>
          <c:smooth val="0"/>
        </c:ser>
        <c:marker val="1"/>
        <c:axId val="50751752"/>
        <c:axId val="54112585"/>
      </c:lineChart>
      <c:catAx>
        <c:axId val="50751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12585"/>
        <c:crosses val="autoZero"/>
        <c:auto val="1"/>
        <c:lblOffset val="100"/>
        <c:tickLblSkip val="1"/>
        <c:noMultiLvlLbl val="0"/>
      </c:catAx>
      <c:valAx>
        <c:axId val="54112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US$
</a:t>
                </a:r>
              </a:p>
            </c:rich>
          </c:tx>
          <c:layout>
            <c:manualLayout>
              <c:xMode val="factor"/>
              <c:yMode val="factor"/>
              <c:x val="-0.006"/>
              <c:y val="0.01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517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2"/>
          <c:y val="0.8955"/>
          <c:w val="0.3712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INVERSION HISTORICA EJECUTADA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1990 - 2013</a:t>
            </a:r>
          </a:p>
        </c:rich>
      </c:tx>
      <c:layout>
        <c:manualLayout>
          <c:xMode val="factor"/>
          <c:yMode val="factor"/>
          <c:x val="0.01275"/>
          <c:y val="-0.01625"/>
        </c:manualLayout>
      </c:layout>
      <c:spPr>
        <a:solidFill>
          <a:srgbClr val="000080"/>
        </a:solidFill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7"/>
          <c:y val="0.302"/>
          <c:w val="0.37225"/>
          <c:h val="0.481"/>
        </c:manualLayout>
      </c:layout>
      <c:pie3DChart>
        <c:varyColors val="1"/>
        <c:ser>
          <c:idx val="0"/>
          <c:order val="0"/>
          <c:tx>
            <c:strRef>
              <c:f>'10.17.4 Evo.Graficos'!$AA$16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'10.17.4 Evo.Graficos'!$B$17:$B$19</c:f>
              <c:strCache/>
            </c:strRef>
          </c:cat>
          <c:val>
            <c:numRef>
              <c:f>'10.17.4 Evo.Graficos'!$AA$17:$AA$19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 LAS INVERSIONES DE LAS EMPRESAS DISTRIBUIDORAS
PERÍODO 1990 - 2013</a:t>
            </a:r>
          </a:p>
        </c:rich>
      </c:tx>
      <c:layout>
        <c:manualLayout>
          <c:xMode val="factor"/>
          <c:yMode val="factor"/>
          <c:x val="-0.022"/>
          <c:y val="-0.0065"/>
        </c:manualLayout>
      </c:layout>
      <c:spPr>
        <a:solidFill>
          <a:srgbClr val="000080"/>
        </a:solidFill>
        <a:ln w="3175">
          <a:noFill/>
        </a:ln>
      </c:spPr>
    </c:title>
    <c:plotArea>
      <c:layout>
        <c:manualLayout>
          <c:xMode val="edge"/>
          <c:yMode val="edge"/>
          <c:x val="0.06075"/>
          <c:y val="0.1295"/>
          <c:w val="0.89075"/>
          <c:h val="0.7365"/>
        </c:manualLayout>
      </c:layout>
      <c:lineChart>
        <c:grouping val="standard"/>
        <c:varyColors val="0"/>
        <c:ser>
          <c:idx val="1"/>
          <c:order val="0"/>
          <c:tx>
            <c:strRef>
              <c:f>'10.17.4 Evo.Graficos'!$AF$62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33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66"/>
              </a:solidFill>
              <a:ln>
                <a:solidFill>
                  <a:srgbClr val="3399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'10.17.4 Evo.Graficos'!$AG$61:$BD$61</c:f>
              <c:numCache/>
            </c:numRef>
          </c:cat>
          <c:val>
            <c:numRef>
              <c:f>'10.17.4 Evo.Graficos'!$AG$62:$BD$62</c:f>
              <c:numCache/>
            </c:numRef>
          </c:val>
          <c:smooth val="0"/>
        </c:ser>
        <c:ser>
          <c:idx val="0"/>
          <c:order val="1"/>
          <c:tx>
            <c:strRef>
              <c:f>'10.17.4 Evo.Graficos'!$AF$63</c:f>
              <c:strCache>
                <c:ptCount val="1"/>
                <c:pt idx="0">
                  <c:v>Privada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'10.17.4 Evo.Graficos'!$AG$61:$BD$61</c:f>
              <c:numCache/>
            </c:numRef>
          </c:cat>
          <c:val>
            <c:numRef>
              <c:f>'10.17.4 Evo.Graficos'!$AG$63:$BD$63</c:f>
              <c:numCache/>
            </c:numRef>
          </c:val>
          <c:smooth val="0"/>
        </c:ser>
        <c:ser>
          <c:idx val="2"/>
          <c:order val="2"/>
          <c:tx>
            <c:strRef>
              <c:f>'10.17.4 Evo.Graficos'!$AF$64</c:f>
              <c:strCache>
                <c:ptCount val="1"/>
                <c:pt idx="0">
                  <c:v>Publica</c:v>
                </c:pt>
              </c:strCache>
            </c:strRef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'10.17.4 Evo.Graficos'!$AG$61:$BD$61</c:f>
              <c:numCache/>
            </c:numRef>
          </c:cat>
          <c:val>
            <c:numRef>
              <c:f>'10.17.4 Evo.Graficos'!$AG$64:$BD$64</c:f>
              <c:numCache/>
            </c:numRef>
          </c:val>
          <c:smooth val="0"/>
        </c:ser>
        <c:marker val="1"/>
        <c:axId val="17251218"/>
        <c:axId val="21043235"/>
      </c:lineChart>
      <c:catAx>
        <c:axId val="17251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43235"/>
        <c:crosses val="autoZero"/>
        <c:auto val="1"/>
        <c:lblOffset val="100"/>
        <c:tickLblSkip val="1"/>
        <c:noMultiLvlLbl val="0"/>
      </c:catAx>
      <c:valAx>
        <c:axId val="21043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US$
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512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25"/>
          <c:y val="0.8955"/>
          <c:w val="0.372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EVOLUCIÓN DE LAS INVERSIONES DE LAS EMPRESAS TRANSMISORAS
</a:t>
            </a:r>
            <a:r>
              <a:rPr lang="en-US" cap="none" sz="1000" b="1" i="0" u="none" baseline="0">
                <a:solidFill>
                  <a:srgbClr val="FFFFFF"/>
                </a:solidFill>
              </a:rPr>
              <a:t>PERÍODO 1990 - 2013</a:t>
            </a:r>
          </a:p>
        </c:rich>
      </c:tx>
      <c:layout>
        <c:manualLayout>
          <c:xMode val="factor"/>
          <c:yMode val="factor"/>
          <c:x val="-0.01375"/>
          <c:y val="0.0315"/>
        </c:manualLayout>
      </c:layout>
      <c:spPr>
        <a:solidFill>
          <a:srgbClr val="000080"/>
        </a:solidFill>
        <a:ln w="3175">
          <a:noFill/>
        </a:ln>
      </c:spPr>
    </c:title>
    <c:plotArea>
      <c:layout>
        <c:manualLayout>
          <c:xMode val="edge"/>
          <c:yMode val="edge"/>
          <c:x val="0.0605"/>
          <c:y val="0.129"/>
          <c:w val="0.891"/>
          <c:h val="0.741"/>
        </c:manualLayout>
      </c:layout>
      <c:lineChart>
        <c:grouping val="standard"/>
        <c:varyColors val="0"/>
        <c:ser>
          <c:idx val="1"/>
          <c:order val="0"/>
          <c:tx>
            <c:strRef>
              <c:f>'10.17.4 Evo.Graficos'!$AF$45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33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66"/>
              </a:solidFill>
              <a:ln>
                <a:solidFill>
                  <a:srgbClr val="3399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'10.17.4 Evo.Graficos'!$AG$44:$BD$44</c:f>
              <c:numCache/>
            </c:numRef>
          </c:cat>
          <c:val>
            <c:numRef>
              <c:f>'10.17.4 Evo.Graficos'!$AG$45:$BD$45</c:f>
              <c:numCache/>
            </c:numRef>
          </c:val>
          <c:smooth val="0"/>
        </c:ser>
        <c:ser>
          <c:idx val="0"/>
          <c:order val="1"/>
          <c:tx>
            <c:strRef>
              <c:f>'10.17.4 Evo.Graficos'!$AF$46</c:f>
              <c:strCache>
                <c:ptCount val="1"/>
                <c:pt idx="0">
                  <c:v>Privada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'10.17.4 Evo.Graficos'!$AG$44:$BD$44</c:f>
              <c:numCache/>
            </c:numRef>
          </c:cat>
          <c:val>
            <c:numRef>
              <c:f>'10.17.4 Evo.Graficos'!$AG$46:$BD$46</c:f>
              <c:numCache/>
            </c:numRef>
          </c:val>
          <c:smooth val="0"/>
        </c:ser>
        <c:ser>
          <c:idx val="2"/>
          <c:order val="2"/>
          <c:tx>
            <c:strRef>
              <c:f>'10.17.4 Evo.Graficos'!$AF$47</c:f>
              <c:strCache>
                <c:ptCount val="1"/>
                <c:pt idx="0">
                  <c:v>Publica</c:v>
                </c:pt>
              </c:strCache>
            </c:strRef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'10.17.4 Evo.Graficos'!$AG$44:$BD$44</c:f>
              <c:numCache/>
            </c:numRef>
          </c:cat>
          <c:val>
            <c:numRef>
              <c:f>'10.17.4 Evo.Graficos'!$AG$47:$BD$47</c:f>
              <c:numCache/>
            </c:numRef>
          </c:val>
          <c:smooth val="0"/>
        </c:ser>
        <c:marker val="1"/>
        <c:axId val="55171388"/>
        <c:axId val="26780445"/>
      </c:lineChart>
      <c:catAx>
        <c:axId val="55171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80445"/>
        <c:crosses val="autoZero"/>
        <c:auto val="1"/>
        <c:lblOffset val="100"/>
        <c:tickLblSkip val="1"/>
        <c:noMultiLvlLbl val="0"/>
      </c:catAx>
      <c:valAx>
        <c:axId val="26780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US$
</a:t>
                </a:r>
              </a:p>
            </c:rich>
          </c:tx>
          <c:layout>
            <c:manualLayout>
              <c:xMode val="factor"/>
              <c:yMode val="factor"/>
              <c:x val="-0.006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713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025"/>
          <c:y val="0.89625"/>
          <c:w val="0.371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1"/>
          <c:w val="0.95675"/>
          <c:h val="0.7535"/>
        </c:manualLayout>
      </c:layout>
      <c:barChart>
        <c:barDir val="col"/>
        <c:grouping val="clustered"/>
        <c:varyColors val="0"/>
        <c:ser>
          <c:idx val="0"/>
          <c:order val="0"/>
          <c:tx>
            <c:v>Costo Marginal de Corto Plazo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'10.18 CMg'!$D$8:$D$103</c:f>
              <c:strCache/>
            </c:strRef>
          </c:cat>
          <c:val>
            <c:numRef>
              <c:f>'10.18 CMg'!$J$8:$J$103</c:f>
              <c:numCache/>
            </c:numRef>
          </c:val>
        </c:ser>
        <c:axId val="39697414"/>
        <c:axId val="21732407"/>
      </c:barChart>
      <c:lineChart>
        <c:grouping val="standard"/>
        <c:varyColors val="0"/>
        <c:ser>
          <c:idx val="1"/>
          <c:order val="1"/>
          <c:tx>
            <c:v>Precio en barra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'10.18 CMg'!$B$8:$C$103</c:f>
              <c:multiLvlStrCache/>
            </c:multiLvlStrRef>
          </c:cat>
          <c:val>
            <c:numRef>
              <c:f>'10.18 CMg'!$I$8:$I$103</c:f>
              <c:numCache/>
            </c:numRef>
          </c:val>
          <c:smooth val="0"/>
        </c:ser>
        <c:axId val="39697414"/>
        <c:axId val="21732407"/>
      </c:lineChart>
      <c:catAx>
        <c:axId val="3969741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32407"/>
        <c:crosses val="autoZero"/>
        <c:auto val="0"/>
        <c:lblOffset val="50"/>
        <c:tickLblSkip val="2"/>
        <c:tickMarkSkip val="2"/>
        <c:noMultiLvlLbl val="0"/>
      </c:catAx>
      <c:valAx>
        <c:axId val="21732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US$/MW.h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9741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35"/>
          <c:y val="0.086"/>
          <c:w val="0.35325"/>
          <c:h val="0.02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2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POTENCIA EFECTIVA - GENERADORAS PARA MERCADO ELÉCTRICO
1 995 - 2 013</a:t>
            </a:r>
          </a:p>
        </c:rich>
      </c:tx>
      <c:layout>
        <c:manualLayout>
          <c:xMode val="factor"/>
          <c:yMode val="factor"/>
          <c:x val="0.0165"/>
          <c:y val="0.01775"/>
        </c:manualLayout>
      </c:layout>
      <c:spPr>
        <a:solidFill>
          <a:srgbClr val="000080"/>
        </a:solidFill>
        <a:ln w="3175">
          <a:noFill/>
        </a:ln>
      </c:spPr>
    </c:title>
    <c:plotArea>
      <c:layout>
        <c:manualLayout>
          <c:xMode val="edge"/>
          <c:yMode val="edge"/>
          <c:x val="0.10175"/>
          <c:y val="0.17475"/>
          <c:w val="0.801"/>
          <c:h val="0.6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'10.2 PEfectiva'!$R$33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PEfectiva'!$Q$34:$Q$52</c:f>
              <c:numCache/>
            </c:numRef>
          </c:cat>
          <c:val>
            <c:numRef>
              <c:f>'10.2 PEfectiva'!$R$34:$R$52</c:f>
              <c:numCache/>
            </c:numRef>
          </c:val>
        </c:ser>
        <c:ser>
          <c:idx val="1"/>
          <c:order val="1"/>
          <c:tx>
            <c:strRef>
              <c:f>'10.2 PEfectiva'!$S$33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PEfectiva'!$Q$34:$Q$52</c:f>
              <c:numCache/>
            </c:numRef>
          </c:cat>
          <c:val>
            <c:numRef>
              <c:f>'10.2 PEfectiva'!$S$34:$S$52</c:f>
              <c:numCache/>
            </c:numRef>
          </c:val>
        </c:ser>
        <c:ser>
          <c:idx val="2"/>
          <c:order val="2"/>
          <c:tx>
            <c:strRef>
              <c:f>'10.2 PEfectiva'!$T$33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PEfectiva'!$Q$34:$Q$52</c:f>
              <c:numCache/>
            </c:numRef>
          </c:cat>
          <c:val>
            <c:numRef>
              <c:f>'10.2 PEfectiva'!$T$34:$T$52</c:f>
              <c:numCache/>
            </c:numRef>
          </c:val>
        </c:ser>
        <c:ser>
          <c:idx val="3"/>
          <c:order val="3"/>
          <c:tx>
            <c:strRef>
              <c:f>'10.2 PEfectiva'!$U$33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PEfectiva'!$Q$34:$Q$52</c:f>
              <c:numCache/>
            </c:numRef>
          </c:cat>
          <c:val>
            <c:numRef>
              <c:f>'10.2 PEfectiva'!$U$34:$U$52</c:f>
              <c:numCache/>
            </c:numRef>
          </c:val>
        </c:ser>
        <c:axId val="63451108"/>
        <c:axId val="34189061"/>
      </c:barChart>
      <c:catAx>
        <c:axId val="63451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89061"/>
        <c:crosses val="autoZero"/>
        <c:auto val="1"/>
        <c:lblOffset val="100"/>
        <c:tickLblSkip val="1"/>
        <c:noMultiLvlLbl val="0"/>
      </c:catAx>
      <c:valAx>
        <c:axId val="34189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511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525"/>
          <c:y val="0.854"/>
          <c:w val="0.52125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POTENCIA EFECTIVA - GENERADORAS PARA USO PROPIO
1 995 - 2 013</a:t>
            </a:r>
          </a:p>
        </c:rich>
      </c:tx>
      <c:layout>
        <c:manualLayout>
          <c:xMode val="factor"/>
          <c:yMode val="factor"/>
          <c:x val="0.027"/>
          <c:y val="0.0255"/>
        </c:manualLayout>
      </c:layout>
      <c:spPr>
        <a:solidFill>
          <a:srgbClr val="000080"/>
        </a:solidFill>
        <a:ln w="3175">
          <a:noFill/>
        </a:ln>
      </c:spPr>
    </c:title>
    <c:plotArea>
      <c:layout>
        <c:manualLayout>
          <c:xMode val="edge"/>
          <c:yMode val="edge"/>
          <c:x val="0.10775"/>
          <c:y val="0.198"/>
          <c:w val="0.81125"/>
          <c:h val="0.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'10.2 PEfectiva'!$R$58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PEfectiva'!$Q$59:$Q$77</c:f>
              <c:numCache/>
            </c:numRef>
          </c:cat>
          <c:val>
            <c:numRef>
              <c:f>'10.2 PEfectiva'!$R$59:$R$77</c:f>
              <c:numCache/>
            </c:numRef>
          </c:val>
        </c:ser>
        <c:ser>
          <c:idx val="1"/>
          <c:order val="1"/>
          <c:tx>
            <c:strRef>
              <c:f>'10.2 PEfectiva'!$S$58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PEfectiva'!$Q$59:$Q$77</c:f>
              <c:numCache/>
            </c:numRef>
          </c:cat>
          <c:val>
            <c:numRef>
              <c:f>'10.2 PEfectiva'!$S$59:$S$77</c:f>
              <c:numCache/>
            </c:numRef>
          </c:val>
        </c:ser>
        <c:ser>
          <c:idx val="2"/>
          <c:order val="2"/>
          <c:tx>
            <c:strRef>
              <c:f>'10.2 PEfectiva'!$T$58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PEfectiva'!$Q$59:$Q$77</c:f>
              <c:numCache/>
            </c:numRef>
          </c:cat>
          <c:val>
            <c:numRef>
              <c:f>'10.2 PEfectiva'!$T$59:$T$77</c:f>
              <c:numCache/>
            </c:numRef>
          </c:val>
        </c:ser>
        <c:axId val="39266094"/>
        <c:axId val="17850527"/>
      </c:barChart>
      <c:catAx>
        <c:axId val="39266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50527"/>
        <c:crosses val="autoZero"/>
        <c:auto val="1"/>
        <c:lblOffset val="100"/>
        <c:tickLblSkip val="1"/>
        <c:noMultiLvlLbl val="0"/>
      </c:catAx>
      <c:valAx>
        <c:axId val="17850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13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660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75"/>
          <c:y val="0.89175"/>
          <c:w val="0.356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 POTENCIA EFECTIVA 1 995 - 2 013</a:t>
            </a:r>
          </a:p>
        </c:rich>
      </c:tx>
      <c:layout>
        <c:manualLayout>
          <c:xMode val="factor"/>
          <c:yMode val="factor"/>
          <c:x val="-0.00525"/>
          <c:y val="0.0175"/>
        </c:manualLayout>
      </c:layout>
      <c:spPr>
        <a:solidFill>
          <a:srgbClr val="000080"/>
        </a:solidFill>
        <a:ln w="3175">
          <a:noFill/>
        </a:ln>
      </c:spPr>
    </c:title>
    <c:plotArea>
      <c:layout>
        <c:manualLayout>
          <c:xMode val="edge"/>
          <c:yMode val="edge"/>
          <c:x val="0.1125"/>
          <c:y val="0.1705"/>
          <c:w val="0.77225"/>
          <c:h val="0.6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'10.2 PEfectiva'!$R$5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PEfectiva'!$Q$6:$Q$24</c:f>
              <c:numCache/>
            </c:numRef>
          </c:cat>
          <c:val>
            <c:numRef>
              <c:f>'10.2 PEfectiva'!$R$6:$R$24</c:f>
              <c:numCache/>
            </c:numRef>
          </c:val>
        </c:ser>
        <c:ser>
          <c:idx val="1"/>
          <c:order val="1"/>
          <c:tx>
            <c:strRef>
              <c:f>'10.2 PEfectiva'!$S$5</c:f>
              <c:strCache>
                <c:ptCount val="1"/>
                <c:pt idx="0">
                  <c:v>Hidro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PEfectiva'!$Q$6:$Q$24</c:f>
              <c:numCache/>
            </c:numRef>
          </c:cat>
          <c:val>
            <c:numRef>
              <c:f>'10.2 PEfectiva'!$S$6:$S$24</c:f>
              <c:numCache/>
            </c:numRef>
          </c:val>
        </c:ser>
        <c:ser>
          <c:idx val="2"/>
          <c:order val="2"/>
          <c:tx>
            <c:strRef>
              <c:f>'10.2 PEfectiva'!$T$5</c:f>
              <c:strCache>
                <c:ptCount val="1"/>
                <c:pt idx="0">
                  <c:v>Termo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PEfectiva'!$Q$6:$Q$24</c:f>
              <c:numCache/>
            </c:numRef>
          </c:cat>
          <c:val>
            <c:numRef>
              <c:f>'10.2 PEfectiva'!$T$6:$T$24</c:f>
              <c:numCache/>
            </c:numRef>
          </c:val>
        </c:ser>
        <c:ser>
          <c:idx val="3"/>
          <c:order val="3"/>
          <c:tx>
            <c:strRef>
              <c:f>'10.2 PEfectiva'!$U$5</c:f>
              <c:strCache>
                <c:ptCount val="1"/>
                <c:pt idx="0">
                  <c:v>Solar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'10.2 PEfectiva'!$Q$6:$Q$24</c:f>
              <c:numCache/>
            </c:numRef>
          </c:cat>
          <c:val>
            <c:numRef>
              <c:f>'10.2 PEfectiva'!$U$6:$U$24</c:f>
              <c:numCache/>
            </c:numRef>
          </c:val>
        </c:ser>
        <c:axId val="26437016"/>
        <c:axId val="36606553"/>
      </c:barChart>
      <c:catAx>
        <c:axId val="26437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06553"/>
        <c:crosses val="autoZero"/>
        <c:auto val="1"/>
        <c:lblOffset val="100"/>
        <c:tickLblSkip val="1"/>
        <c:noMultiLvlLbl val="0"/>
      </c:catAx>
      <c:valAx>
        <c:axId val="36606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370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05"/>
          <c:y val="0.86025"/>
          <c:w val="0.531"/>
          <c:h val="0.12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INCREMENTOS DE POTENCIA INSTALADA POR DÉCADAS</a:t>
            </a:r>
          </a:p>
        </c:rich>
      </c:tx>
      <c:layout>
        <c:manualLayout>
          <c:xMode val="factor"/>
          <c:yMode val="factor"/>
          <c:x val="0.039"/>
          <c:y val="-0.01975"/>
        </c:manualLayout>
      </c:layout>
      <c:spPr>
        <a:solidFill>
          <a:srgbClr val="00008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8"/>
          <c:y val="0.122"/>
          <c:w val="0.91525"/>
          <c:h val="0.8065"/>
        </c:manualLayout>
      </c:layout>
      <c:lineChart>
        <c:grouping val="standard"/>
        <c:varyColors val="0"/>
        <c:ser>
          <c:idx val="0"/>
          <c:order val="0"/>
          <c:tx>
            <c:strRef>
              <c:f>'10.3 Incre PI 2013'!$I$33</c:f>
              <c:strCache>
                <c:ptCount val="1"/>
                <c:pt idx="0">
                  <c:v>Hidráulica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3333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8,3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7,3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2,5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1,8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1,7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'10.3 Incre PI 2013'!$A$35:$A$40</c:f>
              <c:strCache/>
            </c:strRef>
          </c:cat>
          <c:val>
            <c:numRef>
              <c:f>'10.3 Incre PI 2013'!$I$35:$I$40</c:f>
              <c:numCache/>
            </c:numRef>
          </c:val>
          <c:smooth val="0"/>
        </c:ser>
        <c:ser>
          <c:idx val="1"/>
          <c:order val="1"/>
          <c:tx>
            <c:strRef>
              <c:f>'10.3 Incre PI 2013'!$J$33</c:f>
              <c:strCache>
                <c:ptCount val="1"/>
                <c:pt idx="0">
                  <c:v>Térmica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7,6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5,4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3,2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6,3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4,6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'10.3 Incre PI 2013'!$A$35:$A$40</c:f>
              <c:strCache/>
            </c:strRef>
          </c:cat>
          <c:val>
            <c:numRef>
              <c:f>'10.3 Incre PI 2013'!$J$35:$J$40</c:f>
              <c:numCache/>
            </c:numRef>
          </c:val>
          <c:smooth val="0"/>
        </c:ser>
        <c:marker val="1"/>
        <c:axId val="61023522"/>
        <c:axId val="12340787"/>
      </c:lineChart>
      <c:catAx>
        <c:axId val="61023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Períodos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40787"/>
        <c:crosses val="autoZero"/>
        <c:auto val="1"/>
        <c:lblOffset val="100"/>
        <c:tickLblSkip val="1"/>
        <c:noMultiLvlLbl val="0"/>
      </c:catAx>
      <c:valAx>
        <c:axId val="1234078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2352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 LA PRODUCCIÓN DE  ENERGÍA ELÉCTRICA 1 995 - 2 013</a:t>
            </a:r>
          </a:p>
        </c:rich>
      </c:tx>
      <c:layout>
        <c:manualLayout>
          <c:xMode val="factor"/>
          <c:yMode val="factor"/>
          <c:x val="0.01775"/>
          <c:y val="0.021"/>
        </c:manualLayout>
      </c:layout>
      <c:spPr>
        <a:solidFill>
          <a:srgbClr val="000080"/>
        </a:solidFill>
        <a:ln w="3175">
          <a:noFill/>
        </a:ln>
      </c:spPr>
    </c:title>
    <c:plotArea>
      <c:layout>
        <c:manualLayout>
          <c:xMode val="edge"/>
          <c:yMode val="edge"/>
          <c:x val="0.061"/>
          <c:y val="0.16075"/>
          <c:w val="0.894"/>
          <c:h val="0.714"/>
        </c:manualLayout>
      </c:layout>
      <c:areaChart>
        <c:grouping val="stacked"/>
        <c:varyColors val="0"/>
        <c:ser>
          <c:idx val="0"/>
          <c:order val="0"/>
          <c:tx>
            <c:strRef>
              <c:f>'10.4 Prod'!$S$27</c:f>
              <c:strCache>
                <c:ptCount val="1"/>
                <c:pt idx="0">
                  <c:v>Hidráulica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'10.4 Prod'!$R$28:$R$46</c:f>
              <c:numCache/>
            </c:numRef>
          </c:cat>
          <c:val>
            <c:numRef>
              <c:f>'10.4 Prod'!$S$28:$S$46</c:f>
              <c:numCache/>
            </c:numRef>
          </c:val>
        </c:ser>
        <c:ser>
          <c:idx val="1"/>
          <c:order val="1"/>
          <c:tx>
            <c:strRef>
              <c:f>'10.4 Prod'!$T$27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'10.4 Prod'!$R$28:$R$46</c:f>
              <c:numCache/>
            </c:numRef>
          </c:cat>
          <c:val>
            <c:numRef>
              <c:f>'10.4 Prod'!$T$28:$T$46</c:f>
              <c:numCache/>
            </c:numRef>
          </c:val>
        </c:ser>
        <c:ser>
          <c:idx val="2"/>
          <c:order val="2"/>
          <c:tx>
            <c:strRef>
              <c:f>'10.4 Prod'!$U$27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'10.4 Prod'!$R$28:$R$46</c:f>
              <c:numCache/>
            </c:numRef>
          </c:cat>
          <c:val>
            <c:numRef>
              <c:f>'10.4 Prod'!$U$28:$U$46</c:f>
              <c:numCache/>
            </c:numRef>
          </c:val>
        </c:ser>
        <c:axId val="43958220"/>
        <c:axId val="60079661"/>
      </c:areaChart>
      <c:catAx>
        <c:axId val="43958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79661"/>
        <c:crosses val="autoZero"/>
        <c:auto val="1"/>
        <c:lblOffset val="100"/>
        <c:tickLblSkip val="1"/>
        <c:noMultiLvlLbl val="0"/>
      </c:catAx>
      <c:valAx>
        <c:axId val="60079661"/>
        <c:scaling>
          <c:orientation val="minMax"/>
          <c:max val="4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5822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PRODUCCIÓN DE ENERGÍA ELÉCTRICA 
PARA EL MERCADO ELÉCTRICO 1 995 - 2 013</a:t>
            </a:r>
          </a:p>
        </c:rich>
      </c:tx>
      <c:layout>
        <c:manualLayout>
          <c:xMode val="factor"/>
          <c:yMode val="factor"/>
          <c:x val="0.0035"/>
          <c:y val="0.0135"/>
        </c:manualLayout>
      </c:layout>
      <c:spPr>
        <a:solidFill>
          <a:srgbClr val="000080"/>
        </a:solidFill>
        <a:ln w="3175">
          <a:noFill/>
        </a:ln>
      </c:spPr>
    </c:title>
    <c:plotArea>
      <c:layout>
        <c:manualLayout>
          <c:xMode val="edge"/>
          <c:yMode val="edge"/>
          <c:x val="0.043"/>
          <c:y val="0.18475"/>
          <c:w val="0.92025"/>
          <c:h val="0.81425"/>
        </c:manualLayout>
      </c:layout>
      <c:areaChart>
        <c:grouping val="stacked"/>
        <c:varyColors val="0"/>
        <c:ser>
          <c:idx val="0"/>
          <c:order val="0"/>
          <c:tx>
            <c:strRef>
              <c:f>'10.4 Prod'!$S$51</c:f>
              <c:strCache>
                <c:ptCount val="1"/>
                <c:pt idx="0">
                  <c:v>Hidráulica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'10.4 Prod'!$R$52:$R$70</c:f>
              <c:numCache/>
            </c:numRef>
          </c:cat>
          <c:val>
            <c:numRef>
              <c:f>'10.4 Prod'!$S$52:$S$70</c:f>
              <c:numCache/>
            </c:numRef>
          </c:val>
        </c:ser>
        <c:ser>
          <c:idx val="1"/>
          <c:order val="1"/>
          <c:tx>
            <c:strRef>
              <c:f>'10.4 Prod'!$T$51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'10.4 Prod'!$R$52:$R$70</c:f>
              <c:numCache/>
            </c:numRef>
          </c:cat>
          <c:val>
            <c:numRef>
              <c:f>'10.4 Prod'!$T$52:$T$70</c:f>
              <c:numCache/>
            </c:numRef>
          </c:val>
        </c:ser>
        <c:ser>
          <c:idx val="2"/>
          <c:order val="2"/>
          <c:tx>
            <c:strRef>
              <c:f>'10.4 Prod'!$U$51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'10.4 Prod'!$R$52:$R$70</c:f>
              <c:numCache/>
            </c:numRef>
          </c:cat>
          <c:val>
            <c:numRef>
              <c:f>'10.4 Prod'!$U$52:$U$70</c:f>
              <c:numCache/>
            </c:numRef>
          </c:val>
        </c:ser>
        <c:axId val="3846038"/>
        <c:axId val="34614343"/>
      </c:areaChart>
      <c:catAx>
        <c:axId val="3846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14343"/>
        <c:crosses val="autoZero"/>
        <c:auto val="1"/>
        <c:lblOffset val="100"/>
        <c:tickLblSkip val="1"/>
        <c:noMultiLvlLbl val="0"/>
      </c:catAx>
      <c:valAx>
        <c:axId val="34614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11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603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52</xdr:row>
      <xdr:rowOff>95250</xdr:rowOff>
    </xdr:from>
    <xdr:to>
      <xdr:col>14</xdr:col>
      <xdr:colOff>485775</xdr:colOff>
      <xdr:row>69</xdr:row>
      <xdr:rowOff>123825</xdr:rowOff>
    </xdr:to>
    <xdr:graphicFrame>
      <xdr:nvGraphicFramePr>
        <xdr:cNvPr id="1" name="Chart 1"/>
        <xdr:cNvGraphicFramePr/>
      </xdr:nvGraphicFramePr>
      <xdr:xfrm>
        <a:off x="390525" y="8677275"/>
        <a:ext cx="93821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104775</xdr:colOff>
      <xdr:row>70</xdr:row>
      <xdr:rowOff>85725</xdr:rowOff>
    </xdr:from>
    <xdr:to>
      <xdr:col>14</xdr:col>
      <xdr:colOff>466725</xdr:colOff>
      <xdr:row>89</xdr:row>
      <xdr:rowOff>152400</xdr:rowOff>
    </xdr:to>
    <xdr:graphicFrame>
      <xdr:nvGraphicFramePr>
        <xdr:cNvPr id="2" name="Chart 2"/>
        <xdr:cNvGraphicFramePr/>
      </xdr:nvGraphicFramePr>
      <xdr:xfrm>
        <a:off x="390525" y="11582400"/>
        <a:ext cx="936307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</xdr:colOff>
      <xdr:row>34</xdr:row>
      <xdr:rowOff>76200</xdr:rowOff>
    </xdr:from>
    <xdr:to>
      <xdr:col>14</xdr:col>
      <xdr:colOff>495300</xdr:colOff>
      <xdr:row>52</xdr:row>
      <xdr:rowOff>19050</xdr:rowOff>
    </xdr:to>
    <xdr:graphicFrame>
      <xdr:nvGraphicFramePr>
        <xdr:cNvPr id="3" name="Chart 3"/>
        <xdr:cNvGraphicFramePr/>
      </xdr:nvGraphicFramePr>
      <xdr:xfrm>
        <a:off x="361950" y="5743575"/>
        <a:ext cx="942022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152400</xdr:colOff>
      <xdr:row>31</xdr:row>
      <xdr:rowOff>47625</xdr:rowOff>
    </xdr:from>
    <xdr:to>
      <xdr:col>25</xdr:col>
      <xdr:colOff>276225</xdr:colOff>
      <xdr:row>32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17640300" y="5229225"/>
          <a:ext cx="123825" cy="114300"/>
          <a:chOff x="601" y="120"/>
          <a:chExt cx="27" cy="35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 flipH="1">
            <a:off x="601" y="120"/>
            <a:ext cx="11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612" y="121"/>
            <a:ext cx="16" cy="33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601" y="155"/>
            <a:ext cx="27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0.58975</cdr:x>
      <cdr:y>0.25675</cdr:y>
    </cdr:from>
    <cdr:to>
      <cdr:x>0.71775</cdr:x>
      <cdr:y>0.307</cdr:y>
    </cdr:to>
    <cdr:sp>
      <cdr:nvSpPr>
        <cdr:cNvPr id="1" name="Text Box 1"/>
        <cdr:cNvSpPr txBox="1">
          <a:spLocks noChangeArrowheads="1"/>
        </cdr:cNvSpPr>
      </cdr:nvSpPr>
      <cdr:spPr>
        <a:xfrm>
          <a:off x="4333875" y="1009650"/>
          <a:ext cx="9429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75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Industrial</a:t>
          </a:r>
        </a:p>
      </cdr:txBody>
    </cdr:sp>
  </cdr:relSizeAnchor>
  <cdr:relSizeAnchor xmlns:cdr="http://schemas.openxmlformats.org/drawingml/2006/chartDrawing">
    <cdr:from>
      <cdr:x>0.7355</cdr:x>
      <cdr:y>0.4515</cdr:y>
    </cdr:from>
    <cdr:to>
      <cdr:x>0.861</cdr:x>
      <cdr:y>0.4985</cdr:y>
    </cdr:to>
    <cdr:sp>
      <cdr:nvSpPr>
        <cdr:cNvPr id="2" name="Text Box 2"/>
        <cdr:cNvSpPr txBox="1">
          <a:spLocks noChangeArrowheads="1"/>
        </cdr:cNvSpPr>
      </cdr:nvSpPr>
      <cdr:spPr>
        <a:xfrm>
          <a:off x="5400675" y="1771650"/>
          <a:ext cx="923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75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Residencial</a:t>
          </a:r>
        </a:p>
      </cdr:txBody>
    </cdr:sp>
  </cdr:relSizeAnchor>
  <cdr:relSizeAnchor xmlns:cdr="http://schemas.openxmlformats.org/drawingml/2006/chartDrawing">
    <cdr:from>
      <cdr:x>0.54775</cdr:x>
      <cdr:y>0.54875</cdr:y>
    </cdr:from>
    <cdr:to>
      <cdr:x>0.6725</cdr:x>
      <cdr:y>0.5975</cdr:y>
    </cdr:to>
    <cdr:sp>
      <cdr:nvSpPr>
        <cdr:cNvPr id="3" name="Text Box 3"/>
        <cdr:cNvSpPr txBox="1">
          <a:spLocks noChangeArrowheads="1"/>
        </cdr:cNvSpPr>
      </cdr:nvSpPr>
      <cdr:spPr>
        <a:xfrm>
          <a:off x="4019550" y="2162175"/>
          <a:ext cx="9144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75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Comercial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28575</xdr:rowOff>
    </xdr:from>
    <xdr:to>
      <xdr:col>12</xdr:col>
      <xdr:colOff>419100</xdr:colOff>
      <xdr:row>61</xdr:row>
      <xdr:rowOff>85725</xdr:rowOff>
    </xdr:to>
    <xdr:graphicFrame>
      <xdr:nvGraphicFramePr>
        <xdr:cNvPr id="1" name="Chart 1"/>
        <xdr:cNvGraphicFramePr/>
      </xdr:nvGraphicFramePr>
      <xdr:xfrm>
        <a:off x="561975" y="6229350"/>
        <a:ext cx="73533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609600</xdr:colOff>
      <xdr:row>54</xdr:row>
      <xdr:rowOff>38100</xdr:rowOff>
    </xdr:from>
    <xdr:to>
      <xdr:col>11</xdr:col>
      <xdr:colOff>438150</xdr:colOff>
      <xdr:row>55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81675" y="8991600"/>
          <a:ext cx="1504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80C0"/>
              </a:solidFill>
              <a:latin typeface="Arial"/>
              <a:ea typeface="Arial"/>
              <a:cs typeface="Arial"/>
            </a:rPr>
            <a:t>Alumbrado Público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32</xdr:row>
      <xdr:rowOff>161925</xdr:rowOff>
    </xdr:from>
    <xdr:to>
      <xdr:col>6</xdr:col>
      <xdr:colOff>47625</xdr:colOff>
      <xdr:row>58</xdr:row>
      <xdr:rowOff>142875</xdr:rowOff>
    </xdr:to>
    <xdr:graphicFrame>
      <xdr:nvGraphicFramePr>
        <xdr:cNvPr id="1" name="Chart 3"/>
        <xdr:cNvGraphicFramePr/>
      </xdr:nvGraphicFramePr>
      <xdr:xfrm>
        <a:off x="95250" y="5562600"/>
        <a:ext cx="57054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36</xdr:row>
      <xdr:rowOff>57150</xdr:rowOff>
    </xdr:from>
    <xdr:to>
      <xdr:col>6</xdr:col>
      <xdr:colOff>495300</xdr:colOff>
      <xdr:row>62</xdr:row>
      <xdr:rowOff>76200</xdr:rowOff>
    </xdr:to>
    <xdr:graphicFrame>
      <xdr:nvGraphicFramePr>
        <xdr:cNvPr id="1" name="Chart 3"/>
        <xdr:cNvGraphicFramePr/>
      </xdr:nvGraphicFramePr>
      <xdr:xfrm>
        <a:off x="95250" y="6219825"/>
        <a:ext cx="60483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33</xdr:row>
      <xdr:rowOff>123825</xdr:rowOff>
    </xdr:from>
    <xdr:to>
      <xdr:col>7</xdr:col>
      <xdr:colOff>0</xdr:colOff>
      <xdr:row>55</xdr:row>
      <xdr:rowOff>152400</xdr:rowOff>
    </xdr:to>
    <xdr:graphicFrame>
      <xdr:nvGraphicFramePr>
        <xdr:cNvPr id="1" name="Chart 1"/>
        <xdr:cNvGraphicFramePr/>
      </xdr:nvGraphicFramePr>
      <xdr:xfrm>
        <a:off x="514350" y="5667375"/>
        <a:ext cx="68484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56</xdr:row>
      <xdr:rowOff>133350</xdr:rowOff>
    </xdr:from>
    <xdr:to>
      <xdr:col>7</xdr:col>
      <xdr:colOff>76200</xdr:colOff>
      <xdr:row>82</xdr:row>
      <xdr:rowOff>57150</xdr:rowOff>
    </xdr:to>
    <xdr:graphicFrame>
      <xdr:nvGraphicFramePr>
        <xdr:cNvPr id="2" name="Chart 20"/>
        <xdr:cNvGraphicFramePr/>
      </xdr:nvGraphicFramePr>
      <xdr:xfrm>
        <a:off x="495300" y="9401175"/>
        <a:ext cx="694372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37</xdr:row>
      <xdr:rowOff>9525</xdr:rowOff>
    </xdr:from>
    <xdr:to>
      <xdr:col>22</xdr:col>
      <xdr:colOff>809625</xdr:colOff>
      <xdr:row>57</xdr:row>
      <xdr:rowOff>85725</xdr:rowOff>
    </xdr:to>
    <xdr:graphicFrame>
      <xdr:nvGraphicFramePr>
        <xdr:cNvPr id="1" name="Chart 2"/>
        <xdr:cNvGraphicFramePr/>
      </xdr:nvGraphicFramePr>
      <xdr:xfrm>
        <a:off x="704850" y="6029325"/>
        <a:ext cx="79438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59</xdr:row>
      <xdr:rowOff>38100</xdr:rowOff>
    </xdr:from>
    <xdr:to>
      <xdr:col>23</xdr:col>
      <xdr:colOff>0</xdr:colOff>
      <xdr:row>78</xdr:row>
      <xdr:rowOff>19050</xdr:rowOff>
    </xdr:to>
    <xdr:graphicFrame>
      <xdr:nvGraphicFramePr>
        <xdr:cNvPr id="2" name="Chart 3"/>
        <xdr:cNvGraphicFramePr/>
      </xdr:nvGraphicFramePr>
      <xdr:xfrm>
        <a:off x="676275" y="9620250"/>
        <a:ext cx="800100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123825</xdr:colOff>
      <xdr:row>36</xdr:row>
      <xdr:rowOff>19050</xdr:rowOff>
    </xdr:from>
    <xdr:to>
      <xdr:col>13</xdr:col>
      <xdr:colOff>790575</xdr:colOff>
      <xdr:row>55</xdr:row>
      <xdr:rowOff>142875</xdr:rowOff>
    </xdr:to>
    <xdr:graphicFrame>
      <xdr:nvGraphicFramePr>
        <xdr:cNvPr id="1" name="Chart 1"/>
        <xdr:cNvGraphicFramePr/>
      </xdr:nvGraphicFramePr>
      <xdr:xfrm>
        <a:off x="4676775" y="5876925"/>
        <a:ext cx="64960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85725</xdr:colOff>
      <xdr:row>66</xdr:row>
      <xdr:rowOff>476250</xdr:rowOff>
    </xdr:from>
    <xdr:to>
      <xdr:col>13</xdr:col>
      <xdr:colOff>771525</xdr:colOff>
      <xdr:row>92</xdr:row>
      <xdr:rowOff>57150</xdr:rowOff>
    </xdr:to>
    <xdr:graphicFrame>
      <xdr:nvGraphicFramePr>
        <xdr:cNvPr id="2" name="Chart 2"/>
        <xdr:cNvGraphicFramePr/>
      </xdr:nvGraphicFramePr>
      <xdr:xfrm>
        <a:off x="4638675" y="11391900"/>
        <a:ext cx="651510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171450</xdr:colOff>
      <xdr:row>4</xdr:row>
      <xdr:rowOff>171450</xdr:rowOff>
    </xdr:from>
    <xdr:to>
      <xdr:col>13</xdr:col>
      <xdr:colOff>790575</xdr:colOff>
      <xdr:row>30</xdr:row>
      <xdr:rowOff>161925</xdr:rowOff>
    </xdr:to>
    <xdr:graphicFrame>
      <xdr:nvGraphicFramePr>
        <xdr:cNvPr id="3" name="Chart 3"/>
        <xdr:cNvGraphicFramePr/>
      </xdr:nvGraphicFramePr>
      <xdr:xfrm>
        <a:off x="4724400" y="819150"/>
        <a:ext cx="6448425" cy="4219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</cdr:x>
      <cdr:y>0.913</cdr:y>
    </cdr:from>
    <cdr:to>
      <cdr:x>0.9</cdr:x>
      <cdr:y>1</cdr:y>
    </cdr:to>
    <cdr:sp>
      <cdr:nvSpPr>
        <cdr:cNvPr id="1" name="1 Rectángulo"/>
        <cdr:cNvSpPr>
          <a:spLocks/>
        </cdr:cNvSpPr>
      </cdr:nvSpPr>
      <cdr:spPr>
        <a:xfrm>
          <a:off x="1533525" y="3810000"/>
          <a:ext cx="7334250" cy="371475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(*) Ejecutada</a:t>
          </a:r>
          <a:r>
            <a:rPr lang="en-US" cap="none" sz="1100" b="1" i="0" u="none" baseline="0">
              <a:solidFill>
                <a:srgbClr val="000000"/>
              </a:solidFill>
            </a:rPr>
            <a:t> por la direcciòn General de Electrificaciòn Rural (DGER) del Ministerio de Energia y Minas (MINEM)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24</xdr:row>
      <xdr:rowOff>38100</xdr:rowOff>
    </xdr:from>
    <xdr:to>
      <xdr:col>23</xdr:col>
      <xdr:colOff>314325</xdr:colOff>
      <xdr:row>49</xdr:row>
      <xdr:rowOff>19050</xdr:rowOff>
    </xdr:to>
    <xdr:graphicFrame>
      <xdr:nvGraphicFramePr>
        <xdr:cNvPr id="1" name="Chart 1"/>
        <xdr:cNvGraphicFramePr/>
      </xdr:nvGraphicFramePr>
      <xdr:xfrm>
        <a:off x="381000" y="4162425"/>
        <a:ext cx="1483995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37</xdr:col>
      <xdr:colOff>295275</xdr:colOff>
      <xdr:row>58</xdr:row>
      <xdr:rowOff>0</xdr:rowOff>
    </xdr:from>
    <xdr:ext cx="76200" cy="190500"/>
    <xdr:sp fLocksText="0">
      <xdr:nvSpPr>
        <xdr:cNvPr id="2" name="Text Box 4"/>
        <xdr:cNvSpPr txBox="1">
          <a:spLocks noChangeArrowheads="1"/>
        </xdr:cNvSpPr>
      </xdr:nvSpPr>
      <xdr:spPr>
        <a:xfrm>
          <a:off x="24669750" y="9696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123825</xdr:colOff>
      <xdr:row>53</xdr:row>
      <xdr:rowOff>47625</xdr:rowOff>
    </xdr:from>
    <xdr:to>
      <xdr:col>23</xdr:col>
      <xdr:colOff>485775</xdr:colOff>
      <xdr:row>77</xdr:row>
      <xdr:rowOff>133350</xdr:rowOff>
    </xdr:to>
    <xdr:graphicFrame>
      <xdr:nvGraphicFramePr>
        <xdr:cNvPr id="3" name="Chart 5"/>
        <xdr:cNvGraphicFramePr/>
      </xdr:nvGraphicFramePr>
      <xdr:xfrm>
        <a:off x="333375" y="8934450"/>
        <a:ext cx="150590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1</xdr:col>
      <xdr:colOff>419100</xdr:colOff>
      <xdr:row>89</xdr:row>
      <xdr:rowOff>0</xdr:rowOff>
    </xdr:from>
    <xdr:to>
      <xdr:col>25</xdr:col>
      <xdr:colOff>0</xdr:colOff>
      <xdr:row>116</xdr:row>
      <xdr:rowOff>85725</xdr:rowOff>
    </xdr:to>
    <xdr:graphicFrame>
      <xdr:nvGraphicFramePr>
        <xdr:cNvPr id="4" name="Chart 1"/>
        <xdr:cNvGraphicFramePr/>
      </xdr:nvGraphicFramePr>
      <xdr:xfrm>
        <a:off x="628650" y="14716125"/>
        <a:ext cx="15706725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104775</xdr:colOff>
      <xdr:row>198</xdr:row>
      <xdr:rowOff>28575</xdr:rowOff>
    </xdr:from>
    <xdr:to>
      <xdr:col>21</xdr:col>
      <xdr:colOff>238125</xdr:colOff>
      <xdr:row>224</xdr:row>
      <xdr:rowOff>0</xdr:rowOff>
    </xdr:to>
    <xdr:graphicFrame>
      <xdr:nvGraphicFramePr>
        <xdr:cNvPr id="5" name="5 Gráfico"/>
        <xdr:cNvGraphicFramePr/>
      </xdr:nvGraphicFramePr>
      <xdr:xfrm>
        <a:off x="3857625" y="32394525"/>
        <a:ext cx="9858375" cy="4181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219075</xdr:colOff>
      <xdr:row>162</xdr:row>
      <xdr:rowOff>114300</xdr:rowOff>
    </xdr:from>
    <xdr:to>
      <xdr:col>24</xdr:col>
      <xdr:colOff>314325</xdr:colOff>
      <xdr:row>190</xdr:row>
      <xdr:rowOff>38100</xdr:rowOff>
    </xdr:to>
    <xdr:graphicFrame>
      <xdr:nvGraphicFramePr>
        <xdr:cNvPr id="6" name="Chart 1"/>
        <xdr:cNvGraphicFramePr/>
      </xdr:nvGraphicFramePr>
      <xdr:xfrm>
        <a:off x="1552575" y="26650950"/>
        <a:ext cx="14382750" cy="4457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676275</xdr:colOff>
      <xdr:row>121</xdr:row>
      <xdr:rowOff>0</xdr:rowOff>
    </xdr:from>
    <xdr:to>
      <xdr:col>24</xdr:col>
      <xdr:colOff>19050</xdr:colOff>
      <xdr:row>145</xdr:row>
      <xdr:rowOff>142875</xdr:rowOff>
    </xdr:to>
    <xdr:graphicFrame>
      <xdr:nvGraphicFramePr>
        <xdr:cNvPr id="7" name="Chart 1"/>
        <xdr:cNvGraphicFramePr/>
      </xdr:nvGraphicFramePr>
      <xdr:xfrm>
        <a:off x="885825" y="19897725"/>
        <a:ext cx="14754225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38100</xdr:colOff>
      <xdr:row>9</xdr:row>
      <xdr:rowOff>152400</xdr:rowOff>
    </xdr:from>
    <xdr:to>
      <xdr:col>50</xdr:col>
      <xdr:colOff>390525</xdr:colOff>
      <xdr:row>53</xdr:row>
      <xdr:rowOff>57150</xdr:rowOff>
    </xdr:to>
    <xdr:graphicFrame>
      <xdr:nvGraphicFramePr>
        <xdr:cNvPr id="1" name="Gráfico 136"/>
        <xdr:cNvGraphicFramePr/>
      </xdr:nvGraphicFramePr>
      <xdr:xfrm>
        <a:off x="9944100" y="1676400"/>
        <a:ext cx="11544300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51</xdr:row>
      <xdr:rowOff>142875</xdr:rowOff>
    </xdr:from>
    <xdr:to>
      <xdr:col>14</xdr:col>
      <xdr:colOff>428625</xdr:colOff>
      <xdr:row>68</xdr:row>
      <xdr:rowOff>152400</xdr:rowOff>
    </xdr:to>
    <xdr:graphicFrame>
      <xdr:nvGraphicFramePr>
        <xdr:cNvPr id="1" name="Chart 1"/>
        <xdr:cNvGraphicFramePr/>
      </xdr:nvGraphicFramePr>
      <xdr:xfrm>
        <a:off x="542925" y="8658225"/>
        <a:ext cx="93154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69</xdr:row>
      <xdr:rowOff>104775</xdr:rowOff>
    </xdr:from>
    <xdr:to>
      <xdr:col>14</xdr:col>
      <xdr:colOff>428625</xdr:colOff>
      <xdr:row>88</xdr:row>
      <xdr:rowOff>104775</xdr:rowOff>
    </xdr:to>
    <xdr:graphicFrame>
      <xdr:nvGraphicFramePr>
        <xdr:cNvPr id="2" name="Chart 2"/>
        <xdr:cNvGraphicFramePr/>
      </xdr:nvGraphicFramePr>
      <xdr:xfrm>
        <a:off x="571500" y="11534775"/>
        <a:ext cx="928687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33</xdr:row>
      <xdr:rowOff>123825</xdr:rowOff>
    </xdr:from>
    <xdr:to>
      <xdr:col>14</xdr:col>
      <xdr:colOff>419100</xdr:colOff>
      <xdr:row>51</xdr:row>
      <xdr:rowOff>19050</xdr:rowOff>
    </xdr:to>
    <xdr:graphicFrame>
      <xdr:nvGraphicFramePr>
        <xdr:cNvPr id="3" name="Chart 3"/>
        <xdr:cNvGraphicFramePr/>
      </xdr:nvGraphicFramePr>
      <xdr:xfrm>
        <a:off x="561975" y="5724525"/>
        <a:ext cx="9286875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152400</xdr:colOff>
      <xdr:row>29</xdr:row>
      <xdr:rowOff>47625</xdr:rowOff>
    </xdr:from>
    <xdr:to>
      <xdr:col>25</xdr:col>
      <xdr:colOff>276225</xdr:colOff>
      <xdr:row>30</xdr:row>
      <xdr:rowOff>123825</xdr:rowOff>
    </xdr:to>
    <xdr:grpSp>
      <xdr:nvGrpSpPr>
        <xdr:cNvPr id="4" name="Group 4"/>
        <xdr:cNvGrpSpPr>
          <a:grpSpLocks/>
        </xdr:cNvGrpSpPr>
      </xdr:nvGrpSpPr>
      <xdr:grpSpPr>
        <a:xfrm>
          <a:off x="17783175" y="5000625"/>
          <a:ext cx="123825" cy="238125"/>
          <a:chOff x="601" y="120"/>
          <a:chExt cx="27" cy="35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 flipH="1">
            <a:off x="601" y="120"/>
            <a:ext cx="11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612" y="121"/>
            <a:ext cx="16" cy="33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601" y="155"/>
            <a:ext cx="27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</cdr:x>
      <cdr:y>0.5</cdr:y>
    </cdr:from>
    <cdr:to>
      <cdr:x>0.51025</cdr:x>
      <cdr:y>0.55275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562350" y="1733550"/>
          <a:ext cx="85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</cdr:x>
      <cdr:y>0.26125</cdr:y>
    </cdr:from>
    <cdr:to>
      <cdr:x>0.879</cdr:x>
      <cdr:y>0.26125</cdr:y>
    </cdr:to>
    <cdr:sp>
      <cdr:nvSpPr>
        <cdr:cNvPr id="2" name="Text Box 2"/>
        <cdr:cNvSpPr txBox="1">
          <a:spLocks noChangeArrowheads="1"/>
        </cdr:cNvSpPr>
      </cdr:nvSpPr>
      <cdr:spPr>
        <a:xfrm>
          <a:off x="6296025" y="904875"/>
          <a:ext cx="0" cy="0"/>
        </a:xfrm>
        <a:prstGeom prst="rect">
          <a:avLst/>
        </a:prstGeom>
        <a:noFill/>
        <a:ln w="9525" cmpd="sng">
          <a:solidFill>
            <a:srgbClr val="333333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CRECIMIENTO MEDIO</a:t>
          </a:r>
        </a:p>
      </cdr:txBody>
    </cdr:sp>
  </cdr:relSizeAnchor>
  <cdr:relSizeAnchor xmlns:cdr="http://schemas.openxmlformats.org/drawingml/2006/chartDrawing">
    <cdr:from>
      <cdr:x>0.7575</cdr:x>
      <cdr:y>0.26625</cdr:y>
    </cdr:from>
    <cdr:to>
      <cdr:x>0.85525</cdr:x>
      <cdr:y>0.32325</cdr:y>
    </cdr:to>
    <cdr:sp>
      <cdr:nvSpPr>
        <cdr:cNvPr id="3" name="Text Box 5"/>
        <cdr:cNvSpPr txBox="1">
          <a:spLocks noChangeArrowheads="1"/>
        </cdr:cNvSpPr>
      </cdr:nvSpPr>
      <cdr:spPr>
        <a:xfrm>
          <a:off x="5429250" y="914400"/>
          <a:ext cx="704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Térmica</a:t>
          </a:r>
        </a:p>
      </cdr:txBody>
    </cdr:sp>
  </cdr:relSizeAnchor>
  <cdr:relSizeAnchor xmlns:cdr="http://schemas.openxmlformats.org/drawingml/2006/chartDrawing">
    <cdr:from>
      <cdr:x>0.7925</cdr:x>
      <cdr:y>0.71325</cdr:y>
    </cdr:from>
    <cdr:to>
      <cdr:x>0.90675</cdr:x>
      <cdr:y>0.7865</cdr:y>
    </cdr:to>
    <cdr:sp>
      <cdr:nvSpPr>
        <cdr:cNvPr id="4" name="Text Box 6"/>
        <cdr:cNvSpPr txBox="1">
          <a:spLocks noChangeArrowheads="1"/>
        </cdr:cNvSpPr>
      </cdr:nvSpPr>
      <cdr:spPr>
        <a:xfrm>
          <a:off x="5676900" y="2466975"/>
          <a:ext cx="8191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Hidráulica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43</xdr:row>
      <xdr:rowOff>161925</xdr:rowOff>
    </xdr:from>
    <xdr:to>
      <xdr:col>10</xdr:col>
      <xdr:colOff>0</xdr:colOff>
      <xdr:row>65</xdr:row>
      <xdr:rowOff>66675</xdr:rowOff>
    </xdr:to>
    <xdr:graphicFrame>
      <xdr:nvGraphicFramePr>
        <xdr:cNvPr id="1" name="Chart 1"/>
        <xdr:cNvGraphicFramePr/>
      </xdr:nvGraphicFramePr>
      <xdr:xfrm>
        <a:off x="466725" y="7219950"/>
        <a:ext cx="71723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34</xdr:row>
      <xdr:rowOff>38100</xdr:rowOff>
    </xdr:from>
    <xdr:to>
      <xdr:col>14</xdr:col>
      <xdr:colOff>57150</xdr:colOff>
      <xdr:row>54</xdr:row>
      <xdr:rowOff>47625</xdr:rowOff>
    </xdr:to>
    <xdr:graphicFrame>
      <xdr:nvGraphicFramePr>
        <xdr:cNvPr id="1" name="Chart 1"/>
        <xdr:cNvGraphicFramePr/>
      </xdr:nvGraphicFramePr>
      <xdr:xfrm>
        <a:off x="933450" y="5667375"/>
        <a:ext cx="81343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628650</xdr:colOff>
      <xdr:row>54</xdr:row>
      <xdr:rowOff>123825</xdr:rowOff>
    </xdr:from>
    <xdr:to>
      <xdr:col>14</xdr:col>
      <xdr:colOff>38100</xdr:colOff>
      <xdr:row>72</xdr:row>
      <xdr:rowOff>123825</xdr:rowOff>
    </xdr:to>
    <xdr:graphicFrame>
      <xdr:nvGraphicFramePr>
        <xdr:cNvPr id="2" name="Chart 2"/>
        <xdr:cNvGraphicFramePr/>
      </xdr:nvGraphicFramePr>
      <xdr:xfrm>
        <a:off x="923925" y="8991600"/>
        <a:ext cx="81248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581025</xdr:colOff>
      <xdr:row>73</xdr:row>
      <xdr:rowOff>28575</xdr:rowOff>
    </xdr:from>
    <xdr:to>
      <xdr:col>14</xdr:col>
      <xdr:colOff>9525</xdr:colOff>
      <xdr:row>91</xdr:row>
      <xdr:rowOff>38100</xdr:rowOff>
    </xdr:to>
    <xdr:graphicFrame>
      <xdr:nvGraphicFramePr>
        <xdr:cNvPr id="3" name="Chart 3"/>
        <xdr:cNvGraphicFramePr/>
      </xdr:nvGraphicFramePr>
      <xdr:xfrm>
        <a:off x="876300" y="11972925"/>
        <a:ext cx="8143875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152400</xdr:colOff>
      <xdr:row>44</xdr:row>
      <xdr:rowOff>47625</xdr:rowOff>
    </xdr:from>
    <xdr:to>
      <xdr:col>25</xdr:col>
      <xdr:colOff>276225</xdr:colOff>
      <xdr:row>45</xdr:row>
      <xdr:rowOff>123825</xdr:rowOff>
    </xdr:to>
    <xdr:grpSp>
      <xdr:nvGrpSpPr>
        <xdr:cNvPr id="4" name="Group 4"/>
        <xdr:cNvGrpSpPr>
          <a:grpSpLocks/>
        </xdr:cNvGrpSpPr>
      </xdr:nvGrpSpPr>
      <xdr:grpSpPr>
        <a:xfrm>
          <a:off x="17868900" y="7296150"/>
          <a:ext cx="123825" cy="238125"/>
          <a:chOff x="601" y="120"/>
          <a:chExt cx="27" cy="35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 flipH="1">
            <a:off x="601" y="120"/>
            <a:ext cx="11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612" y="121"/>
            <a:ext cx="16" cy="33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601" y="155"/>
            <a:ext cx="27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257175</xdr:colOff>
      <xdr:row>38</xdr:row>
      <xdr:rowOff>38100</xdr:rowOff>
    </xdr:from>
    <xdr:to>
      <xdr:col>13</xdr:col>
      <xdr:colOff>76200</xdr:colOff>
      <xdr:row>40</xdr:row>
      <xdr:rowOff>38100</xdr:rowOff>
    </xdr:to>
    <xdr:sp>
      <xdr:nvSpPr>
        <xdr:cNvPr id="8" name="1 CuadroTexto"/>
        <xdr:cNvSpPr txBox="1">
          <a:spLocks noChangeArrowheads="1"/>
        </xdr:cNvSpPr>
      </xdr:nvSpPr>
      <xdr:spPr>
        <a:xfrm>
          <a:off x="7658100" y="631507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Solar</a:t>
          </a:r>
        </a:p>
      </xdr:txBody>
    </xdr:sp>
    <xdr:clientData/>
  </xdr:twoCellAnchor>
  <xdr:twoCellAnchor>
    <xdr:from>
      <xdr:col>11</xdr:col>
      <xdr:colOff>361950</xdr:colOff>
      <xdr:row>59</xdr:row>
      <xdr:rowOff>19050</xdr:rowOff>
    </xdr:from>
    <xdr:to>
      <xdr:col>13</xdr:col>
      <xdr:colOff>180975</xdr:colOff>
      <xdr:row>61</xdr:row>
      <xdr:rowOff>19050</xdr:rowOff>
    </xdr:to>
    <xdr:sp>
      <xdr:nvSpPr>
        <xdr:cNvPr id="9" name="9 CuadroTexto"/>
        <xdr:cNvSpPr txBox="1">
          <a:spLocks noChangeArrowheads="1"/>
        </xdr:cNvSpPr>
      </xdr:nvSpPr>
      <xdr:spPr>
        <a:xfrm>
          <a:off x="7762875" y="9696450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Solar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42</xdr:row>
      <xdr:rowOff>142875</xdr:rowOff>
    </xdr:from>
    <xdr:to>
      <xdr:col>9</xdr:col>
      <xdr:colOff>0</xdr:colOff>
      <xdr:row>63</xdr:row>
      <xdr:rowOff>142875</xdr:rowOff>
    </xdr:to>
    <xdr:graphicFrame>
      <xdr:nvGraphicFramePr>
        <xdr:cNvPr id="1" name="Chart 3"/>
        <xdr:cNvGraphicFramePr/>
      </xdr:nvGraphicFramePr>
      <xdr:xfrm>
        <a:off x="314325" y="7981950"/>
        <a:ext cx="77247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39</xdr:row>
      <xdr:rowOff>104775</xdr:rowOff>
    </xdr:from>
    <xdr:to>
      <xdr:col>10</xdr:col>
      <xdr:colOff>381000</xdr:colOff>
      <xdr:row>61</xdr:row>
      <xdr:rowOff>104775</xdr:rowOff>
    </xdr:to>
    <xdr:graphicFrame>
      <xdr:nvGraphicFramePr>
        <xdr:cNvPr id="1" name="Chart 1"/>
        <xdr:cNvGraphicFramePr/>
      </xdr:nvGraphicFramePr>
      <xdr:xfrm>
        <a:off x="742950" y="6524625"/>
        <a:ext cx="81915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361950</xdr:colOff>
      <xdr:row>62</xdr:row>
      <xdr:rowOff>76200</xdr:rowOff>
    </xdr:from>
    <xdr:to>
      <xdr:col>10</xdr:col>
      <xdr:colOff>371475</xdr:colOff>
      <xdr:row>85</xdr:row>
      <xdr:rowOff>76200</xdr:rowOff>
    </xdr:to>
    <xdr:graphicFrame>
      <xdr:nvGraphicFramePr>
        <xdr:cNvPr id="2" name="Chart 2"/>
        <xdr:cNvGraphicFramePr/>
      </xdr:nvGraphicFramePr>
      <xdr:xfrm>
        <a:off x="695325" y="10220325"/>
        <a:ext cx="822960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35</xdr:row>
      <xdr:rowOff>95250</xdr:rowOff>
    </xdr:from>
    <xdr:to>
      <xdr:col>10</xdr:col>
      <xdr:colOff>228600</xdr:colOff>
      <xdr:row>57</xdr:row>
      <xdr:rowOff>142875</xdr:rowOff>
    </xdr:to>
    <xdr:graphicFrame>
      <xdr:nvGraphicFramePr>
        <xdr:cNvPr id="1" name="Chart 1"/>
        <xdr:cNvGraphicFramePr/>
      </xdr:nvGraphicFramePr>
      <xdr:xfrm>
        <a:off x="638175" y="5848350"/>
        <a:ext cx="81153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333375</xdr:colOff>
      <xdr:row>59</xdr:row>
      <xdr:rowOff>114300</xdr:rowOff>
    </xdr:from>
    <xdr:to>
      <xdr:col>10</xdr:col>
      <xdr:colOff>219075</xdr:colOff>
      <xdr:row>81</xdr:row>
      <xdr:rowOff>133350</xdr:rowOff>
    </xdr:to>
    <xdr:graphicFrame>
      <xdr:nvGraphicFramePr>
        <xdr:cNvPr id="2" name="Chart 2"/>
        <xdr:cNvGraphicFramePr/>
      </xdr:nvGraphicFramePr>
      <xdr:xfrm>
        <a:off x="638175" y="9753600"/>
        <a:ext cx="81057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42</xdr:row>
      <xdr:rowOff>47625</xdr:rowOff>
    </xdr:from>
    <xdr:to>
      <xdr:col>9</xdr:col>
      <xdr:colOff>466725</xdr:colOff>
      <xdr:row>61</xdr:row>
      <xdr:rowOff>133350</xdr:rowOff>
    </xdr:to>
    <xdr:graphicFrame>
      <xdr:nvGraphicFramePr>
        <xdr:cNvPr id="1" name="Chart 1"/>
        <xdr:cNvGraphicFramePr/>
      </xdr:nvGraphicFramePr>
      <xdr:xfrm>
        <a:off x="1104900" y="6962775"/>
        <a:ext cx="72294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752475</xdr:colOff>
      <xdr:row>63</xdr:row>
      <xdr:rowOff>152400</xdr:rowOff>
    </xdr:from>
    <xdr:to>
      <xdr:col>9</xdr:col>
      <xdr:colOff>476250</xdr:colOff>
      <xdr:row>83</xdr:row>
      <xdr:rowOff>133350</xdr:rowOff>
    </xdr:to>
    <xdr:graphicFrame>
      <xdr:nvGraphicFramePr>
        <xdr:cNvPr id="2" name="Chart 2"/>
        <xdr:cNvGraphicFramePr/>
      </xdr:nvGraphicFramePr>
      <xdr:xfrm>
        <a:off x="1133475" y="10467975"/>
        <a:ext cx="72104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pe\DOC_DIFUSION\EVOLUCIONES%20Y%20OTROS\2013\FINAL\PRELIMINAR\Correcciones%20para%20Anuario%202011\D2%20N%20Evol.%20Pot.%20Instalada-1995%20-%202013_P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pe\DOC_DIFUSION\EVOLUCIONES%20Y%20OTROS\2013\FINAL\PRELIMINAR\Correcciones%20para%20Anuario%202011\E2%20N%20Evol.%20Pot.%20Efectiva-1995%20-%202013_P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pe\DOC_DIFUSION\EVOLUCIONES%20Y%20OTROS\2013\FINAL\PRELIMINAR\Correcciones%20para%20Anuario%202011\G2.N%20Evol.%20Producci&#243;n-1995%20-%202013_Pre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pe\DOC_DIFUSION\EVOLUCIONES%20Y%20OTROS\2013\FINAL\PRELIMINAR\L3%20Evol_Precio%20Medio-1995%20-%202013_Pre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pe\DOC_DIFUSION\ANUARIOS\ANUARIO%202013\Capitulo%2010\Capitulo%2010%20Evoluciones%20en%20el%20SE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 - POTENCIA"/>
      <sheetName val="Desagregado"/>
    </sheetNames>
    <sheetDataSet>
      <sheetData sheetId="1">
        <row r="18">
          <cell r="N18">
            <v>0.7</v>
          </cell>
        </row>
        <row r="19">
          <cell r="N19">
            <v>0.7</v>
          </cell>
        </row>
        <row r="20">
          <cell r="N20">
            <v>0.7</v>
          </cell>
        </row>
        <row r="21">
          <cell r="N21">
            <v>0.7</v>
          </cell>
        </row>
        <row r="22">
          <cell r="N22">
            <v>0.7</v>
          </cell>
        </row>
        <row r="23">
          <cell r="N23">
            <v>0.7</v>
          </cell>
        </row>
        <row r="24">
          <cell r="N24">
            <v>0.7</v>
          </cell>
        </row>
        <row r="25">
          <cell r="N25">
            <v>0.7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sagregado"/>
    </sheetNames>
    <sheetDataSet>
      <sheetData sheetId="0">
        <row r="17">
          <cell r="N17">
            <v>0.7</v>
          </cell>
        </row>
        <row r="18">
          <cell r="N18">
            <v>0.7</v>
          </cell>
        </row>
        <row r="19">
          <cell r="N19">
            <v>0.7</v>
          </cell>
        </row>
        <row r="20">
          <cell r="N20">
            <v>0.7</v>
          </cell>
        </row>
        <row r="21">
          <cell r="N21">
            <v>0.7</v>
          </cell>
        </row>
        <row r="22">
          <cell r="N22">
            <v>0.7</v>
          </cell>
        </row>
        <row r="23">
          <cell r="N23">
            <v>0.7</v>
          </cell>
        </row>
        <row r="24">
          <cell r="N24">
            <v>0.7</v>
          </cell>
        </row>
        <row r="25">
          <cell r="N25">
            <v>0.7</v>
          </cell>
        </row>
        <row r="26">
          <cell r="N26">
            <v>0.7</v>
          </cell>
        </row>
        <row r="27">
          <cell r="N27">
            <v>0.7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"/>
      <sheetName val="Desagregado"/>
      <sheetName val="Hoja1"/>
    </sheetNames>
    <sheetDataSet>
      <sheetData sheetId="1">
        <row r="8">
          <cell r="N8" t="str">
            <v>---</v>
          </cell>
        </row>
        <row r="9">
          <cell r="N9">
            <v>0.41</v>
          </cell>
        </row>
        <row r="10">
          <cell r="N10">
            <v>0.5556559999999999</v>
          </cell>
        </row>
        <row r="11">
          <cell r="N11">
            <v>0.52644</v>
          </cell>
        </row>
        <row r="12">
          <cell r="N12">
            <v>0.62458</v>
          </cell>
        </row>
        <row r="13">
          <cell r="N13">
            <v>0.8457</v>
          </cell>
        </row>
        <row r="16">
          <cell r="N16">
            <v>1.2264000000000002</v>
          </cell>
        </row>
        <row r="17">
          <cell r="N17">
            <v>1.2264000000000002</v>
          </cell>
        </row>
        <row r="18">
          <cell r="N18">
            <v>1.2264000000000002</v>
          </cell>
        </row>
        <row r="19">
          <cell r="N19">
            <v>1.2264000000000002</v>
          </cell>
        </row>
        <row r="20">
          <cell r="N20">
            <v>1.2264000000000002</v>
          </cell>
        </row>
        <row r="21">
          <cell r="N21">
            <v>1.2264000000000002</v>
          </cell>
        </row>
        <row r="22">
          <cell r="N22">
            <v>1.2264000000000002</v>
          </cell>
        </row>
        <row r="23">
          <cell r="N23">
            <v>1.2264000000000004</v>
          </cell>
        </row>
        <row r="24">
          <cell r="N24">
            <v>1.2264000000000002</v>
          </cell>
        </row>
        <row r="25">
          <cell r="N25">
            <v>1.2264000000000002</v>
          </cell>
        </row>
        <row r="26">
          <cell r="N26">
            <v>1.2264000000000004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N -PRECIOMEDIO"/>
      <sheetName val="desagregados"/>
      <sheetName val="Hoja 2"/>
    </sheetNames>
    <sheetDataSet>
      <sheetData sheetId="1">
        <row r="52">
          <cell r="C52">
            <v>6.573199512560988</v>
          </cell>
          <cell r="H52">
            <v>10.220209425572106</v>
          </cell>
        </row>
        <row r="53">
          <cell r="C53">
            <v>6.943416370742706</v>
          </cell>
          <cell r="H53">
            <v>10.459527312900395</v>
          </cell>
        </row>
        <row r="71">
          <cell r="B71">
            <v>4.2445573090579085</v>
          </cell>
        </row>
        <row r="72">
          <cell r="B72">
            <v>4.5448535324028105</v>
          </cell>
        </row>
        <row r="73">
          <cell r="B73">
            <v>5.212117520815096</v>
          </cell>
        </row>
        <row r="74">
          <cell r="B74">
            <v>4.8931747664703975</v>
          </cell>
        </row>
        <row r="75">
          <cell r="B75">
            <v>4.861602607536183</v>
          </cell>
        </row>
        <row r="76">
          <cell r="B76">
            <v>5.164795484263344</v>
          </cell>
        </row>
        <row r="77">
          <cell r="B77">
            <v>4.531755939031402</v>
          </cell>
        </row>
        <row r="78">
          <cell r="B78">
            <v>4.541729686255704</v>
          </cell>
        </row>
        <row r="79">
          <cell r="B79">
            <v>4.470113199324197</v>
          </cell>
        </row>
        <row r="80">
          <cell r="B80">
            <v>5.176227190061146</v>
          </cell>
        </row>
        <row r="81">
          <cell r="B81">
            <v>5.541607608090972</v>
          </cell>
        </row>
        <row r="82">
          <cell r="B82">
            <v>5.581447756240201</v>
          </cell>
        </row>
        <row r="83">
          <cell r="B83">
            <v>5.420095140533965</v>
          </cell>
        </row>
        <row r="84">
          <cell r="B84">
            <v>6.703677483775019</v>
          </cell>
        </row>
        <row r="85">
          <cell r="B85">
            <v>5.653760327009893</v>
          </cell>
        </row>
        <row r="86">
          <cell r="B86">
            <v>5.403780946168652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0.1 PI-2013"/>
      <sheetName val="10.2 PEfectiva"/>
      <sheetName val="10.3 Incre PI 2013"/>
      <sheetName val="10.4 Prod"/>
      <sheetName val="10.5 LINEAS"/>
      <sheetName val="10.6 VENTAS"/>
      <sheetName val="10.7 FACTURAC-2013"/>
      <sheetName val="10.8 PRECIO MEDIO"/>
      <sheetName val="10.9 VENTAS-CIIU-2013"/>
      <sheetName val="10.10 FACT-SECTOR"/>
      <sheetName val="10.11 PM-SECTOR"/>
      <sheetName val="10.12 CONSUMO_2013 "/>
      <sheetName val="10.13 CLIENTES-2013"/>
      <sheetName val="10.14 -10.15  y 10.16"/>
      <sheetName val="10.17.1 Inversion Privada"/>
      <sheetName val="10.17.2 y 3 Publica y Gub."/>
      <sheetName val="10.17.4 Evo.Graficos"/>
      <sheetName val="10.18 CMg"/>
    </sheetNames>
    <sheetDataSet>
      <sheetData sheetId="4">
        <row r="14">
          <cell r="M14">
            <v>500</v>
          </cell>
          <cell r="N14">
            <v>220</v>
          </cell>
          <cell r="O14">
            <v>138</v>
          </cell>
          <cell r="P14" t="str">
            <v>60 - 69</v>
          </cell>
          <cell r="Q14" t="str">
            <v>30 - 50</v>
          </cell>
        </row>
        <row r="16">
          <cell r="K16">
            <v>1996</v>
          </cell>
          <cell r="N16">
            <v>3129.692</v>
          </cell>
          <cell r="O16">
            <v>1872.9719999999998</v>
          </cell>
          <cell r="P16">
            <v>3277.7189999999996</v>
          </cell>
          <cell r="Q16">
            <v>1129.69</v>
          </cell>
        </row>
        <row r="17">
          <cell r="K17">
            <v>1997</v>
          </cell>
          <cell r="N17">
            <v>3625.496</v>
          </cell>
          <cell r="O17">
            <v>2240.8330000000005</v>
          </cell>
          <cell r="P17">
            <v>3629.138999999999</v>
          </cell>
          <cell r="Q17">
            <v>1328.998</v>
          </cell>
        </row>
        <row r="18">
          <cell r="K18">
            <v>1998</v>
          </cell>
          <cell r="N18">
            <v>3625.496</v>
          </cell>
          <cell r="O18">
            <v>2410.533</v>
          </cell>
          <cell r="P18">
            <v>3894.522999999999</v>
          </cell>
          <cell r="Q18">
            <v>1397.656</v>
          </cell>
        </row>
        <row r="19">
          <cell r="K19">
            <v>1999</v>
          </cell>
          <cell r="N19">
            <v>3996.306</v>
          </cell>
          <cell r="O19">
            <v>2920.413</v>
          </cell>
          <cell r="P19">
            <v>4189.570999999999</v>
          </cell>
          <cell r="Q19">
            <v>1421.38</v>
          </cell>
        </row>
        <row r="20">
          <cell r="K20">
            <v>2000</v>
          </cell>
          <cell r="N20">
            <v>4860.06609</v>
          </cell>
          <cell r="O20">
            <v>3135.153</v>
          </cell>
          <cell r="P20">
            <v>4213.37</v>
          </cell>
          <cell r="Q20">
            <v>1447.4109999999998</v>
          </cell>
        </row>
        <row r="21">
          <cell r="K21">
            <v>2001</v>
          </cell>
          <cell r="N21">
            <v>5318.10309</v>
          </cell>
          <cell r="O21">
            <v>3183.004</v>
          </cell>
          <cell r="P21">
            <v>4309.589</v>
          </cell>
          <cell r="Q21">
            <v>1449.94</v>
          </cell>
        </row>
        <row r="22">
          <cell r="K22">
            <v>2002</v>
          </cell>
          <cell r="N22">
            <v>5558.67709</v>
          </cell>
          <cell r="O22">
            <v>3331.1639999999998</v>
          </cell>
          <cell r="P22">
            <v>4334.589</v>
          </cell>
          <cell r="Q22">
            <v>1454.345</v>
          </cell>
        </row>
        <row r="23">
          <cell r="K23">
            <v>2003</v>
          </cell>
          <cell r="N23">
            <v>5558.67709</v>
          </cell>
          <cell r="O23">
            <v>3338.1639999999998</v>
          </cell>
          <cell r="P23">
            <v>4335.311</v>
          </cell>
          <cell r="Q23">
            <v>1460.845</v>
          </cell>
        </row>
        <row r="24">
          <cell r="K24">
            <v>2004</v>
          </cell>
          <cell r="N24">
            <v>5613.97709</v>
          </cell>
          <cell r="O24">
            <v>3337.61</v>
          </cell>
          <cell r="P24">
            <v>4335.311</v>
          </cell>
          <cell r="Q24">
            <v>1569.7659999999996</v>
          </cell>
        </row>
        <row r="25">
          <cell r="K25">
            <v>2005</v>
          </cell>
          <cell r="N25">
            <v>5613.97709</v>
          </cell>
          <cell r="O25">
            <v>3435</v>
          </cell>
          <cell r="P25">
            <v>4678</v>
          </cell>
          <cell r="Q25">
            <v>1545</v>
          </cell>
        </row>
        <row r="26">
          <cell r="K26">
            <v>2006</v>
          </cell>
          <cell r="N26">
            <v>5664.087089999999</v>
          </cell>
          <cell r="O26">
            <v>3636.3779999999997</v>
          </cell>
          <cell r="P26">
            <v>4841.857999999999</v>
          </cell>
          <cell r="Q26">
            <v>1545.7479999999998</v>
          </cell>
        </row>
        <row r="27">
          <cell r="K27">
            <v>2007</v>
          </cell>
          <cell r="N27">
            <v>5676.9770899999985</v>
          </cell>
          <cell r="O27">
            <v>3636.3779999999997</v>
          </cell>
          <cell r="P27">
            <v>4852.788</v>
          </cell>
          <cell r="Q27">
            <v>1545.7479999999998</v>
          </cell>
        </row>
        <row r="28">
          <cell r="K28">
            <v>2008</v>
          </cell>
          <cell r="N28">
            <v>5710.71509</v>
          </cell>
          <cell r="O28">
            <v>3636.3779999999997</v>
          </cell>
          <cell r="P28">
            <v>4862.161999999999</v>
          </cell>
          <cell r="Q28">
            <v>1545.7779999999998</v>
          </cell>
        </row>
        <row r="29">
          <cell r="K29">
            <v>2009</v>
          </cell>
          <cell r="N29">
            <v>5714.26609</v>
          </cell>
          <cell r="O29">
            <v>4057.028</v>
          </cell>
          <cell r="P29">
            <v>4992.947</v>
          </cell>
          <cell r="Q29">
            <v>1555.16</v>
          </cell>
        </row>
        <row r="30">
          <cell r="K30">
            <v>2010</v>
          </cell>
          <cell r="N30">
            <v>5862.567089999999</v>
          </cell>
          <cell r="O30">
            <v>4252.078</v>
          </cell>
          <cell r="P30">
            <v>5204.0582</v>
          </cell>
          <cell r="Q30">
            <v>1746.1599999999999</v>
          </cell>
        </row>
        <row r="31">
          <cell r="K31">
            <v>2011</v>
          </cell>
          <cell r="M31">
            <v>89</v>
          </cell>
          <cell r="N31">
            <v>6849.757089999998</v>
          </cell>
          <cell r="O31">
            <v>4277.844</v>
          </cell>
          <cell r="P31">
            <v>5563.4592</v>
          </cell>
          <cell r="Q31">
            <v>1779.62</v>
          </cell>
        </row>
        <row r="32">
          <cell r="K32">
            <v>2012</v>
          </cell>
          <cell r="M32">
            <v>611</v>
          </cell>
          <cell r="N32">
            <v>6969.757089999998</v>
          </cell>
          <cell r="O32">
            <v>4285.654</v>
          </cell>
          <cell r="P32">
            <v>5760</v>
          </cell>
          <cell r="Q32">
            <v>1789.88</v>
          </cell>
        </row>
        <row r="33">
          <cell r="K33">
            <v>2013</v>
          </cell>
          <cell r="M33">
            <v>621.86</v>
          </cell>
          <cell r="N33">
            <v>7841.677</v>
          </cell>
          <cell r="O33">
            <v>4416.933999999999</v>
          </cell>
          <cell r="P33">
            <v>5907.1522</v>
          </cell>
          <cell r="Q33">
            <v>1797.496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6"/>
  <sheetViews>
    <sheetView tabSelected="1" view="pageBreakPreview" zoomScaleSheetLayoutView="100" zoomScalePageLayoutView="0" workbookViewId="0" topLeftCell="A1">
      <selection activeCell="R25" sqref="R25"/>
    </sheetView>
  </sheetViews>
  <sheetFormatPr defaultColWidth="11.421875" defaultRowHeight="12.75"/>
  <cols>
    <col min="1" max="1" width="4.28125" style="216" customWidth="1"/>
    <col min="2" max="2" width="21.421875" style="216" customWidth="1"/>
    <col min="3" max="3" width="11.421875" style="216" customWidth="1"/>
    <col min="4" max="4" width="9.140625" style="216" bestFit="1" customWidth="1"/>
    <col min="5" max="6" width="8.57421875" style="216" customWidth="1"/>
    <col min="7" max="7" width="8.00390625" style="216" customWidth="1"/>
    <col min="8" max="8" width="11.140625" style="216" customWidth="1"/>
    <col min="9" max="9" width="11.7109375" style="216" customWidth="1"/>
    <col min="10" max="11" width="9.28125" style="216" customWidth="1"/>
    <col min="12" max="12" width="7.28125" style="216" customWidth="1"/>
    <col min="13" max="13" width="9.28125" style="216" customWidth="1"/>
    <col min="14" max="14" width="9.8515625" style="216" customWidth="1"/>
    <col min="15" max="15" width="8.7109375" style="216" customWidth="1"/>
    <col min="16" max="16384" width="11.421875" style="216" customWidth="1"/>
  </cols>
  <sheetData>
    <row r="2" ht="18">
      <c r="A2" s="10" t="s">
        <v>65</v>
      </c>
    </row>
    <row r="4" spans="2:15" ht="15">
      <c r="B4" s="217"/>
      <c r="C4" s="217"/>
      <c r="D4" s="217"/>
      <c r="E4" s="217"/>
      <c r="F4" s="217"/>
      <c r="G4" s="217"/>
      <c r="H4" s="217"/>
      <c r="I4" s="217"/>
      <c r="J4" s="218"/>
      <c r="K4" s="218"/>
      <c r="L4" s="219"/>
      <c r="M4" s="219"/>
      <c r="N4" s="219"/>
      <c r="O4" s="219"/>
    </row>
    <row r="5" ht="13.5" thickBot="1"/>
    <row r="6" spans="2:25" ht="15.75" customHeight="1">
      <c r="B6" s="870"/>
      <c r="C6" s="871"/>
      <c r="D6" s="872" t="s">
        <v>13</v>
      </c>
      <c r="E6" s="873"/>
      <c r="F6" s="873"/>
      <c r="G6" s="873"/>
      <c r="H6" s="872" t="s">
        <v>14</v>
      </c>
      <c r="I6" s="873"/>
      <c r="J6" s="874"/>
      <c r="K6" s="874"/>
      <c r="L6" s="874"/>
      <c r="M6" s="872" t="s">
        <v>15</v>
      </c>
      <c r="N6" s="875"/>
      <c r="O6" s="876"/>
      <c r="R6" s="216" t="s">
        <v>0</v>
      </c>
      <c r="S6" s="216" t="s">
        <v>1</v>
      </c>
      <c r="T6" s="216" t="s">
        <v>2</v>
      </c>
      <c r="U6" s="216" t="s">
        <v>61</v>
      </c>
      <c r="W6" s="220"/>
      <c r="X6" s="220"/>
      <c r="Y6" s="221"/>
    </row>
    <row r="7" spans="2:25" ht="13.5" thickBot="1">
      <c r="B7" s="877" t="s">
        <v>18</v>
      </c>
      <c r="C7" s="878" t="s">
        <v>0</v>
      </c>
      <c r="D7" s="879" t="s">
        <v>4</v>
      </c>
      <c r="E7" s="880" t="s">
        <v>5</v>
      </c>
      <c r="F7" s="880" t="s">
        <v>61</v>
      </c>
      <c r="G7" s="880" t="s">
        <v>6</v>
      </c>
      <c r="H7" s="881" t="s">
        <v>0</v>
      </c>
      <c r="I7" s="880" t="s">
        <v>4</v>
      </c>
      <c r="J7" s="880" t="s">
        <v>5</v>
      </c>
      <c r="K7" s="880" t="s">
        <v>61</v>
      </c>
      <c r="L7" s="880" t="s">
        <v>6</v>
      </c>
      <c r="M7" s="881" t="s">
        <v>0</v>
      </c>
      <c r="N7" s="882" t="s">
        <v>4</v>
      </c>
      <c r="O7" s="883" t="s">
        <v>5</v>
      </c>
      <c r="Q7" s="216">
        <v>1995</v>
      </c>
      <c r="R7" s="222">
        <f aca="true" t="shared" si="0" ref="R7:T23">C9</f>
        <v>4461.7</v>
      </c>
      <c r="S7" s="222">
        <f t="shared" si="0"/>
        <v>2479.4</v>
      </c>
      <c r="T7" s="222">
        <f t="shared" si="0"/>
        <v>1982.3</v>
      </c>
      <c r="W7" s="223"/>
      <c r="X7" s="224"/>
      <c r="Y7" s="225"/>
    </row>
    <row r="8" spans="2:25" ht="12.75">
      <c r="B8" s="226"/>
      <c r="C8" s="227"/>
      <c r="D8" s="228"/>
      <c r="E8" s="229"/>
      <c r="F8" s="229"/>
      <c r="G8" s="230"/>
      <c r="H8" s="231"/>
      <c r="I8" s="229"/>
      <c r="J8" s="229"/>
      <c r="K8" s="229"/>
      <c r="L8" s="230"/>
      <c r="M8" s="228"/>
      <c r="N8" s="232"/>
      <c r="O8" s="233"/>
      <c r="Q8" s="216">
        <v>1996</v>
      </c>
      <c r="R8" s="222">
        <f t="shared" si="0"/>
        <v>4662.605</v>
      </c>
      <c r="S8" s="222">
        <f t="shared" si="0"/>
        <v>2492.7239999999997</v>
      </c>
      <c r="T8" s="222">
        <f t="shared" si="0"/>
        <v>2169.6310000000003</v>
      </c>
      <c r="W8" s="223"/>
      <c r="X8" s="224"/>
      <c r="Y8" s="234"/>
    </row>
    <row r="9" spans="2:25" ht="12.75">
      <c r="B9" s="235">
        <v>1995</v>
      </c>
      <c r="C9" s="236">
        <f aca="true" t="shared" si="1" ref="C9:C27">SUM(D9:G9)</f>
        <v>4461.7</v>
      </c>
      <c r="D9" s="237">
        <f>SUM(I9,N9)</f>
        <v>2479.4</v>
      </c>
      <c r="E9" s="238">
        <f aca="true" t="shared" si="2" ref="E9:E25">SUM(J9,O9)</f>
        <v>1982.3</v>
      </c>
      <c r="F9" s="238"/>
      <c r="G9" s="239"/>
      <c r="H9" s="237">
        <f aca="true" t="shared" si="3" ref="H9:H27">SUM(I9:L9)</f>
        <v>3185.7</v>
      </c>
      <c r="I9" s="237">
        <v>2190</v>
      </c>
      <c r="J9" s="237">
        <v>995.7</v>
      </c>
      <c r="K9" s="237"/>
      <c r="L9" s="239"/>
      <c r="M9" s="237">
        <f aca="true" t="shared" si="4" ref="M9:M18">SUM(N9:O9)</f>
        <v>1276</v>
      </c>
      <c r="N9" s="240">
        <v>289.4</v>
      </c>
      <c r="O9" s="241">
        <v>986.5999999999999</v>
      </c>
      <c r="Q9" s="216">
        <v>1997</v>
      </c>
      <c r="R9" s="222">
        <f t="shared" si="0"/>
        <v>5192.498</v>
      </c>
      <c r="S9" s="222">
        <f t="shared" si="0"/>
        <v>2512.9939999999997</v>
      </c>
      <c r="T9" s="222">
        <f t="shared" si="0"/>
        <v>2679.254</v>
      </c>
      <c r="W9" s="223"/>
      <c r="X9" s="224"/>
      <c r="Y9" s="234"/>
    </row>
    <row r="10" spans="2:25" ht="12.75">
      <c r="B10" s="242">
        <v>1996</v>
      </c>
      <c r="C10" s="227">
        <f t="shared" si="1"/>
        <v>4662.605</v>
      </c>
      <c r="D10" s="228">
        <f aca="true" t="shared" si="5" ref="D10:D25">SUM(I10,N10)</f>
        <v>2492.7239999999997</v>
      </c>
      <c r="E10" s="243">
        <f t="shared" si="2"/>
        <v>2169.6310000000003</v>
      </c>
      <c r="F10" s="243"/>
      <c r="G10" s="244">
        <v>0.25</v>
      </c>
      <c r="H10" s="228">
        <f t="shared" si="3"/>
        <v>3352.881</v>
      </c>
      <c r="I10" s="228">
        <v>2200.1839999999997</v>
      </c>
      <c r="J10" s="228">
        <v>1152.4470000000001</v>
      </c>
      <c r="K10" s="228"/>
      <c r="L10" s="245">
        <v>0.25</v>
      </c>
      <c r="M10" s="228">
        <f t="shared" si="4"/>
        <v>1309.724</v>
      </c>
      <c r="N10" s="232">
        <v>292.54</v>
      </c>
      <c r="O10" s="233">
        <v>1017.184</v>
      </c>
      <c r="Q10" s="216">
        <v>1998</v>
      </c>
      <c r="R10" s="222">
        <f t="shared" si="0"/>
        <v>5515.29</v>
      </c>
      <c r="S10" s="222">
        <f t="shared" si="0"/>
        <v>2572.061</v>
      </c>
      <c r="T10" s="222">
        <f t="shared" si="0"/>
        <v>2942.979</v>
      </c>
      <c r="W10" s="223"/>
      <c r="X10" s="224"/>
      <c r="Y10" s="234"/>
    </row>
    <row r="11" spans="2:25" ht="12.75">
      <c r="B11" s="235">
        <v>1997</v>
      </c>
      <c r="C11" s="236">
        <f t="shared" si="1"/>
        <v>5192.498</v>
      </c>
      <c r="D11" s="237">
        <f t="shared" si="5"/>
        <v>2512.9939999999997</v>
      </c>
      <c r="E11" s="246">
        <f t="shared" si="2"/>
        <v>2679.254</v>
      </c>
      <c r="F11" s="246"/>
      <c r="G11" s="247">
        <v>0.25</v>
      </c>
      <c r="H11" s="237">
        <f t="shared" si="3"/>
        <v>4325.021</v>
      </c>
      <c r="I11" s="237">
        <v>2411.519</v>
      </c>
      <c r="J11" s="237">
        <v>1913.252</v>
      </c>
      <c r="K11" s="237"/>
      <c r="L11" s="248">
        <v>0.25</v>
      </c>
      <c r="M11" s="237">
        <f t="shared" si="4"/>
        <v>867.477</v>
      </c>
      <c r="N11" s="240">
        <v>101.475</v>
      </c>
      <c r="O11" s="241">
        <v>766.002</v>
      </c>
      <c r="Q11" s="216">
        <v>1999</v>
      </c>
      <c r="R11" s="222">
        <f t="shared" si="0"/>
        <v>5742.428</v>
      </c>
      <c r="S11" s="222">
        <f t="shared" si="0"/>
        <v>2673.2799999999997</v>
      </c>
      <c r="T11" s="222">
        <f t="shared" si="0"/>
        <v>3068.4480000000003</v>
      </c>
      <c r="W11" s="223"/>
      <c r="X11" s="224"/>
      <c r="Y11" s="234"/>
    </row>
    <row r="12" spans="2:25" ht="12.75">
      <c r="B12" s="242">
        <v>1998</v>
      </c>
      <c r="C12" s="227">
        <f t="shared" si="1"/>
        <v>5515.29</v>
      </c>
      <c r="D12" s="228">
        <f t="shared" si="5"/>
        <v>2572.061</v>
      </c>
      <c r="E12" s="243">
        <f t="shared" si="2"/>
        <v>2942.979</v>
      </c>
      <c r="F12" s="243"/>
      <c r="G12" s="244">
        <v>0.25</v>
      </c>
      <c r="H12" s="228">
        <f t="shared" si="3"/>
        <v>4632.328</v>
      </c>
      <c r="I12" s="228">
        <v>2467.416</v>
      </c>
      <c r="J12" s="228">
        <v>2164.6119999999996</v>
      </c>
      <c r="K12" s="228"/>
      <c r="L12" s="245">
        <v>0.3</v>
      </c>
      <c r="M12" s="228">
        <f t="shared" si="4"/>
        <v>883.0120000000001</v>
      </c>
      <c r="N12" s="232">
        <v>104.645</v>
      </c>
      <c r="O12" s="233">
        <v>778.3670000000001</v>
      </c>
      <c r="Q12" s="216">
        <v>2000</v>
      </c>
      <c r="R12" s="222">
        <f t="shared" si="0"/>
        <v>6066.189</v>
      </c>
      <c r="S12" s="222">
        <f t="shared" si="0"/>
        <v>2856.8250000000003</v>
      </c>
      <c r="T12" s="222">
        <f t="shared" si="0"/>
        <v>3208.664</v>
      </c>
      <c r="W12" s="223"/>
      <c r="X12" s="224"/>
      <c r="Y12" s="234"/>
    </row>
    <row r="13" spans="2:25" ht="12.75">
      <c r="B13" s="235">
        <v>1999</v>
      </c>
      <c r="C13" s="236">
        <f t="shared" si="1"/>
        <v>5742.428</v>
      </c>
      <c r="D13" s="237">
        <f t="shared" si="5"/>
        <v>2673.2799999999997</v>
      </c>
      <c r="E13" s="246">
        <f t="shared" si="2"/>
        <v>3068.4480000000003</v>
      </c>
      <c r="F13" s="246"/>
      <c r="G13" s="247">
        <v>0.7</v>
      </c>
      <c r="H13" s="237">
        <f t="shared" si="3"/>
        <v>4828.2429999999995</v>
      </c>
      <c r="I13" s="237">
        <v>2587.129</v>
      </c>
      <c r="J13" s="237">
        <v>2240.414</v>
      </c>
      <c r="K13" s="237"/>
      <c r="L13" s="248">
        <v>0.7</v>
      </c>
      <c r="M13" s="237">
        <f t="shared" si="4"/>
        <v>914.185</v>
      </c>
      <c r="N13" s="240">
        <v>86.15099999999998</v>
      </c>
      <c r="O13" s="241">
        <v>828.034</v>
      </c>
      <c r="Q13" s="216">
        <v>2001</v>
      </c>
      <c r="R13" s="222">
        <f t="shared" si="0"/>
        <v>5906.693</v>
      </c>
      <c r="S13" s="222">
        <f t="shared" si="0"/>
        <v>2966.328</v>
      </c>
      <c r="T13" s="222">
        <f t="shared" si="0"/>
        <v>2939.665</v>
      </c>
      <c r="W13" s="223"/>
      <c r="X13" s="249"/>
      <c r="Y13" s="234"/>
    </row>
    <row r="14" spans="2:25" ht="12.75">
      <c r="B14" s="242">
        <v>2000</v>
      </c>
      <c r="C14" s="227">
        <f t="shared" si="1"/>
        <v>6066.189</v>
      </c>
      <c r="D14" s="228">
        <f t="shared" si="5"/>
        <v>2856.8250000000003</v>
      </c>
      <c r="E14" s="243">
        <f t="shared" si="2"/>
        <v>3208.664</v>
      </c>
      <c r="F14" s="243"/>
      <c r="G14" s="244">
        <f>L14</f>
        <v>0.7</v>
      </c>
      <c r="H14" s="228">
        <f t="shared" si="3"/>
        <v>5148.851</v>
      </c>
      <c r="I14" s="228">
        <v>2779.26</v>
      </c>
      <c r="J14" s="228">
        <v>2368.891</v>
      </c>
      <c r="K14" s="228"/>
      <c r="L14" s="245">
        <v>0.7</v>
      </c>
      <c r="M14" s="228">
        <f t="shared" si="4"/>
        <v>917.3380000000002</v>
      </c>
      <c r="N14" s="232">
        <v>77.565</v>
      </c>
      <c r="O14" s="233">
        <v>839.7730000000001</v>
      </c>
      <c r="Q14" s="250">
        <v>2002</v>
      </c>
      <c r="R14" s="222">
        <f t="shared" si="0"/>
        <v>5935.533</v>
      </c>
      <c r="S14" s="222">
        <f t="shared" si="0"/>
        <v>2996.4710000000014</v>
      </c>
      <c r="T14" s="222">
        <f t="shared" si="0"/>
        <v>2938.3619999999996</v>
      </c>
      <c r="W14" s="223"/>
      <c r="X14" s="249"/>
      <c r="Y14" s="234"/>
    </row>
    <row r="15" spans="2:25" ht="12.75">
      <c r="B15" s="235">
        <v>2001</v>
      </c>
      <c r="C15" s="236">
        <f t="shared" si="1"/>
        <v>5906.693</v>
      </c>
      <c r="D15" s="237">
        <f t="shared" si="5"/>
        <v>2966.328</v>
      </c>
      <c r="E15" s="246">
        <f t="shared" si="2"/>
        <v>2939.665</v>
      </c>
      <c r="F15" s="246"/>
      <c r="G15" s="248">
        <v>0.7</v>
      </c>
      <c r="H15" s="237">
        <f t="shared" si="3"/>
        <v>5050.813999999999</v>
      </c>
      <c r="I15" s="246">
        <v>2889.433</v>
      </c>
      <c r="J15" s="246">
        <v>2160.681</v>
      </c>
      <c r="K15" s="246"/>
      <c r="L15" s="248">
        <v>0.7</v>
      </c>
      <c r="M15" s="237">
        <f t="shared" si="4"/>
        <v>855.879</v>
      </c>
      <c r="N15" s="240">
        <v>76.895</v>
      </c>
      <c r="O15" s="241">
        <v>778.984</v>
      </c>
      <c r="Q15" s="216">
        <v>2003</v>
      </c>
      <c r="R15" s="222">
        <f t="shared" si="0"/>
        <v>5970.063</v>
      </c>
      <c r="S15" s="222">
        <f t="shared" si="0"/>
        <v>3032.3070000000002</v>
      </c>
      <c r="T15" s="222">
        <f t="shared" si="0"/>
        <v>2937.056</v>
      </c>
      <c r="W15" s="251"/>
      <c r="X15" s="252"/>
      <c r="Y15" s="253"/>
    </row>
    <row r="16" spans="2:20" ht="12.75">
      <c r="B16" s="242">
        <v>2002</v>
      </c>
      <c r="C16" s="227">
        <f t="shared" si="1"/>
        <v>5935.533</v>
      </c>
      <c r="D16" s="228">
        <f t="shared" si="5"/>
        <v>2996.4710000000014</v>
      </c>
      <c r="E16" s="243">
        <f t="shared" si="2"/>
        <v>2938.3619999999996</v>
      </c>
      <c r="F16" s="243"/>
      <c r="G16" s="245">
        <f aca="true" t="shared" si="6" ref="G16:G25">SUM(L16)</f>
        <v>0.7</v>
      </c>
      <c r="H16" s="228">
        <f t="shared" si="3"/>
        <v>5068.051</v>
      </c>
      <c r="I16" s="243">
        <v>2917.602000000001</v>
      </c>
      <c r="J16" s="243">
        <v>2149.749</v>
      </c>
      <c r="K16" s="243"/>
      <c r="L16" s="245">
        <v>0.7</v>
      </c>
      <c r="M16" s="228">
        <f t="shared" si="4"/>
        <v>867.4819999999997</v>
      </c>
      <c r="N16" s="232">
        <v>78.86899999999997</v>
      </c>
      <c r="O16" s="233">
        <v>788.6129999999998</v>
      </c>
      <c r="Q16" s="216">
        <v>2004</v>
      </c>
      <c r="R16" s="222">
        <f t="shared" si="0"/>
        <v>6016.318600000002</v>
      </c>
      <c r="S16" s="222">
        <f t="shared" si="0"/>
        <v>3055.8676000000023</v>
      </c>
      <c r="T16" s="222">
        <f t="shared" si="0"/>
        <v>2959.751</v>
      </c>
    </row>
    <row r="17" spans="1:20" ht="12.75">
      <c r="A17" s="254"/>
      <c r="B17" s="235">
        <v>2003</v>
      </c>
      <c r="C17" s="236">
        <f>SUM(D17:G17)</f>
        <v>5970.063</v>
      </c>
      <c r="D17" s="237">
        <f t="shared" si="5"/>
        <v>3032.3070000000002</v>
      </c>
      <c r="E17" s="246">
        <f t="shared" si="2"/>
        <v>2937.056</v>
      </c>
      <c r="F17" s="246"/>
      <c r="G17" s="248">
        <f t="shared" si="6"/>
        <v>0.7</v>
      </c>
      <c r="H17" s="237">
        <f>SUM(I17:L17)</f>
        <v>5095.103</v>
      </c>
      <c r="I17" s="246">
        <v>2946.8210000000004</v>
      </c>
      <c r="J17" s="246">
        <v>2147.582</v>
      </c>
      <c r="K17" s="246"/>
      <c r="L17" s="248">
        <f>+'[1]Desagregado'!N18</f>
        <v>0.7</v>
      </c>
      <c r="M17" s="237">
        <f>SUM(N17:O17)</f>
        <v>874.96</v>
      </c>
      <c r="N17" s="248">
        <v>85.48599999999999</v>
      </c>
      <c r="O17" s="241">
        <v>789.474</v>
      </c>
      <c r="Q17" s="216">
        <v>2005</v>
      </c>
      <c r="R17" s="222">
        <f t="shared" si="0"/>
        <v>6200.5256</v>
      </c>
      <c r="S17" s="222">
        <f t="shared" si="0"/>
        <v>3207.0616000000005</v>
      </c>
      <c r="T17" s="222">
        <f t="shared" si="0"/>
        <v>2992.763999999999</v>
      </c>
    </row>
    <row r="18" spans="1:20" ht="12.75">
      <c r="A18" s="254"/>
      <c r="B18" s="242">
        <v>2004</v>
      </c>
      <c r="C18" s="227">
        <f t="shared" si="1"/>
        <v>6016.318600000002</v>
      </c>
      <c r="D18" s="228">
        <f t="shared" si="5"/>
        <v>3055.8676000000023</v>
      </c>
      <c r="E18" s="243">
        <f t="shared" si="2"/>
        <v>2959.751</v>
      </c>
      <c r="F18" s="243"/>
      <c r="G18" s="245">
        <f t="shared" si="6"/>
        <v>0.7</v>
      </c>
      <c r="H18" s="228">
        <f t="shared" si="3"/>
        <v>5096.021600000003</v>
      </c>
      <c r="I18" s="243">
        <v>2969.0596000000023</v>
      </c>
      <c r="J18" s="243">
        <v>2126.262</v>
      </c>
      <c r="K18" s="243"/>
      <c r="L18" s="245">
        <f>+'[1]Desagregado'!N19</f>
        <v>0.7</v>
      </c>
      <c r="M18" s="228">
        <f t="shared" si="4"/>
        <v>920.297</v>
      </c>
      <c r="N18" s="245">
        <v>86.80799999999996</v>
      </c>
      <c r="O18" s="233">
        <v>833.489</v>
      </c>
      <c r="Q18" s="216">
        <v>2006</v>
      </c>
      <c r="R18" s="222">
        <f t="shared" si="0"/>
        <v>6658.143599999999</v>
      </c>
      <c r="S18" s="222">
        <f t="shared" si="0"/>
        <v>3216.0026</v>
      </c>
      <c r="T18" s="222">
        <f t="shared" si="0"/>
        <v>3441.441</v>
      </c>
    </row>
    <row r="19" spans="1:20" ht="12.75">
      <c r="A19" s="254"/>
      <c r="B19" s="235">
        <v>2005</v>
      </c>
      <c r="C19" s="236">
        <f t="shared" si="1"/>
        <v>6200.5256</v>
      </c>
      <c r="D19" s="237">
        <f t="shared" si="5"/>
        <v>3207.0616000000005</v>
      </c>
      <c r="E19" s="246">
        <f t="shared" si="2"/>
        <v>2992.763999999999</v>
      </c>
      <c r="F19" s="246"/>
      <c r="G19" s="248">
        <f t="shared" si="6"/>
        <v>0.7</v>
      </c>
      <c r="H19" s="237">
        <f t="shared" si="3"/>
        <v>5220.6336</v>
      </c>
      <c r="I19" s="246">
        <v>3119.1996000000004</v>
      </c>
      <c r="J19" s="246">
        <v>2100.7339999999995</v>
      </c>
      <c r="K19" s="246"/>
      <c r="L19" s="248">
        <f>+'[1]Desagregado'!N20</f>
        <v>0.7</v>
      </c>
      <c r="M19" s="237">
        <f aca="true" t="shared" si="7" ref="M19:M27">+N19+O19</f>
        <v>979.8919999999999</v>
      </c>
      <c r="N19" s="248">
        <v>87.86199999999998</v>
      </c>
      <c r="O19" s="241">
        <v>892.03</v>
      </c>
      <c r="Q19" s="250">
        <v>2007</v>
      </c>
      <c r="R19" s="222">
        <f t="shared" si="0"/>
        <v>7027.5172</v>
      </c>
      <c r="S19" s="222">
        <f t="shared" si="0"/>
        <v>3233.5982000000004</v>
      </c>
      <c r="T19" s="222">
        <f t="shared" si="0"/>
        <v>3793.219</v>
      </c>
    </row>
    <row r="20" spans="1:20" ht="12.75">
      <c r="A20" s="254"/>
      <c r="B20" s="242">
        <v>2006</v>
      </c>
      <c r="C20" s="227">
        <f>SUM(D20:G20)</f>
        <v>6658.143599999999</v>
      </c>
      <c r="D20" s="228">
        <f t="shared" si="5"/>
        <v>3216.0026</v>
      </c>
      <c r="E20" s="243">
        <f t="shared" si="2"/>
        <v>3441.441</v>
      </c>
      <c r="F20" s="243"/>
      <c r="G20" s="245">
        <f t="shared" si="6"/>
        <v>0.7</v>
      </c>
      <c r="H20" s="228">
        <f>SUM(I20:L20)</f>
        <v>5625.1416</v>
      </c>
      <c r="I20" s="243">
        <v>3127.8006</v>
      </c>
      <c r="J20" s="243">
        <v>2496.641</v>
      </c>
      <c r="K20" s="243"/>
      <c r="L20" s="245">
        <f>+'[1]Desagregado'!N21</f>
        <v>0.7</v>
      </c>
      <c r="M20" s="228">
        <f t="shared" si="7"/>
        <v>1033.0019999999997</v>
      </c>
      <c r="N20" s="245">
        <v>88.202</v>
      </c>
      <c r="O20" s="233">
        <v>944.7999999999997</v>
      </c>
      <c r="Q20" s="216">
        <v>2008</v>
      </c>
      <c r="R20" s="222">
        <f t="shared" si="0"/>
        <v>7157.935000000003</v>
      </c>
      <c r="S20" s="222">
        <f t="shared" si="0"/>
        <v>3242.0260000000017</v>
      </c>
      <c r="T20" s="222">
        <f t="shared" si="0"/>
        <v>3915.2090000000017</v>
      </c>
    </row>
    <row r="21" spans="2:20" ht="12.75">
      <c r="B21" s="235">
        <v>2007</v>
      </c>
      <c r="C21" s="236">
        <f t="shared" si="1"/>
        <v>7027.5172</v>
      </c>
      <c r="D21" s="237">
        <f t="shared" si="5"/>
        <v>3233.5982000000004</v>
      </c>
      <c r="E21" s="246">
        <f t="shared" si="2"/>
        <v>3793.219</v>
      </c>
      <c r="F21" s="246"/>
      <c r="G21" s="248">
        <f t="shared" si="6"/>
        <v>0.7</v>
      </c>
      <c r="H21" s="237">
        <f t="shared" si="3"/>
        <v>5989.7252</v>
      </c>
      <c r="I21" s="246">
        <v>3145.1412000000005</v>
      </c>
      <c r="J21" s="246">
        <v>2843.884</v>
      </c>
      <c r="K21" s="246"/>
      <c r="L21" s="248">
        <f>+'[1]Desagregado'!N22</f>
        <v>0.7</v>
      </c>
      <c r="M21" s="237">
        <f t="shared" si="7"/>
        <v>1037.792</v>
      </c>
      <c r="N21" s="248">
        <v>88.457</v>
      </c>
      <c r="O21" s="241">
        <v>949.3349999999999</v>
      </c>
      <c r="Q21" s="216">
        <v>2009</v>
      </c>
      <c r="R21" s="222">
        <f t="shared" si="0"/>
        <v>7986.496000000002</v>
      </c>
      <c r="S21" s="222">
        <f t="shared" si="0"/>
        <v>3277.4640000000018</v>
      </c>
      <c r="T21" s="222">
        <f t="shared" si="0"/>
        <v>4708.332</v>
      </c>
    </row>
    <row r="22" spans="2:20" ht="12.75">
      <c r="B22" s="242">
        <v>2008</v>
      </c>
      <c r="C22" s="227">
        <f t="shared" si="1"/>
        <v>7157.935000000003</v>
      </c>
      <c r="D22" s="228">
        <f t="shared" si="5"/>
        <v>3242.0260000000017</v>
      </c>
      <c r="E22" s="229">
        <f t="shared" si="2"/>
        <v>3915.2090000000017</v>
      </c>
      <c r="F22" s="229"/>
      <c r="G22" s="245">
        <f t="shared" si="6"/>
        <v>0.7</v>
      </c>
      <c r="H22" s="228">
        <f t="shared" si="3"/>
        <v>5996.983000000003</v>
      </c>
      <c r="I22" s="243">
        <v>3152.038000000002</v>
      </c>
      <c r="J22" s="243">
        <v>2844.245000000001</v>
      </c>
      <c r="K22" s="243"/>
      <c r="L22" s="245">
        <f>+'[1]Desagregado'!N23</f>
        <v>0.7</v>
      </c>
      <c r="M22" s="228">
        <f t="shared" si="7"/>
        <v>1160.9520000000007</v>
      </c>
      <c r="N22" s="245">
        <v>89.98799999999997</v>
      </c>
      <c r="O22" s="233">
        <v>1070.9640000000006</v>
      </c>
      <c r="Q22" s="216">
        <v>2010</v>
      </c>
      <c r="R22" s="222">
        <f t="shared" si="0"/>
        <v>8612.556999999999</v>
      </c>
      <c r="S22" s="222">
        <f t="shared" si="0"/>
        <v>3437.602</v>
      </c>
      <c r="T22" s="222">
        <f t="shared" si="0"/>
        <v>5174.254999999998</v>
      </c>
    </row>
    <row r="23" spans="2:20" ht="12.75">
      <c r="B23" s="235">
        <v>2009</v>
      </c>
      <c r="C23" s="236">
        <f t="shared" si="1"/>
        <v>7986.496000000002</v>
      </c>
      <c r="D23" s="237">
        <f t="shared" si="5"/>
        <v>3277.4640000000018</v>
      </c>
      <c r="E23" s="238">
        <f t="shared" si="2"/>
        <v>4708.332</v>
      </c>
      <c r="F23" s="238"/>
      <c r="G23" s="248">
        <f t="shared" si="6"/>
        <v>0.7</v>
      </c>
      <c r="H23" s="237">
        <f t="shared" si="3"/>
        <v>6723.516000000002</v>
      </c>
      <c r="I23" s="246">
        <v>3183.1260000000016</v>
      </c>
      <c r="J23" s="246">
        <v>3539.6900000000005</v>
      </c>
      <c r="K23" s="246"/>
      <c r="L23" s="248">
        <f>+'[1]Desagregado'!N24</f>
        <v>0.7</v>
      </c>
      <c r="M23" s="237">
        <f t="shared" si="7"/>
        <v>1262.9800000000002</v>
      </c>
      <c r="N23" s="248">
        <v>94.338</v>
      </c>
      <c r="O23" s="241">
        <v>1168.6420000000003</v>
      </c>
      <c r="Q23" s="216">
        <v>2011</v>
      </c>
      <c r="R23" s="222">
        <f t="shared" si="0"/>
        <v>8691.327</v>
      </c>
      <c r="S23" s="222">
        <f t="shared" si="0"/>
        <v>3450.9529999999995</v>
      </c>
      <c r="T23" s="222">
        <f t="shared" si="0"/>
        <v>5239.673999999999</v>
      </c>
    </row>
    <row r="24" spans="2:21" ht="12.75">
      <c r="B24" s="242">
        <v>2010</v>
      </c>
      <c r="C24" s="227">
        <f t="shared" si="1"/>
        <v>8612.556999999999</v>
      </c>
      <c r="D24" s="228">
        <f t="shared" si="5"/>
        <v>3437.602</v>
      </c>
      <c r="E24" s="229">
        <f t="shared" si="2"/>
        <v>5174.254999999998</v>
      </c>
      <c r="F24" s="229"/>
      <c r="G24" s="245">
        <f t="shared" si="6"/>
        <v>0.7</v>
      </c>
      <c r="H24" s="228">
        <f t="shared" si="3"/>
        <v>7309.165999999998</v>
      </c>
      <c r="I24" s="243">
        <v>3344.795</v>
      </c>
      <c r="J24" s="243">
        <v>3963.670999999999</v>
      </c>
      <c r="K24" s="243"/>
      <c r="L24" s="245">
        <f>+'[1]Desagregado'!N25</f>
        <v>0.7</v>
      </c>
      <c r="M24" s="228">
        <f>+N24+O24</f>
        <v>1303.3909999999996</v>
      </c>
      <c r="N24" s="245">
        <v>92.80700000000002</v>
      </c>
      <c r="O24" s="233">
        <v>1210.5839999999996</v>
      </c>
      <c r="Q24" s="216">
        <v>2012</v>
      </c>
      <c r="R24" s="216">
        <v>9699.097</v>
      </c>
      <c r="S24" s="222">
        <v>3483.973999999999</v>
      </c>
      <c r="T24" s="222">
        <v>6134.422999999999</v>
      </c>
      <c r="U24" s="216">
        <v>80</v>
      </c>
    </row>
    <row r="25" spans="2:23" ht="12.75">
      <c r="B25" s="235">
        <v>2011</v>
      </c>
      <c r="C25" s="236">
        <f t="shared" si="1"/>
        <v>8691.327</v>
      </c>
      <c r="D25" s="237">
        <f t="shared" si="5"/>
        <v>3450.9529999999995</v>
      </c>
      <c r="E25" s="238">
        <f t="shared" si="2"/>
        <v>5239.673999999999</v>
      </c>
      <c r="F25" s="238"/>
      <c r="G25" s="248">
        <f t="shared" si="6"/>
        <v>0.7</v>
      </c>
      <c r="H25" s="237">
        <f t="shared" si="3"/>
        <v>7314.236999999998</v>
      </c>
      <c r="I25" s="237">
        <v>3357.0599999999995</v>
      </c>
      <c r="J25" s="237">
        <v>3956.4769999999994</v>
      </c>
      <c r="K25" s="246"/>
      <c r="L25" s="248">
        <v>0.7</v>
      </c>
      <c r="M25" s="237">
        <f t="shared" si="7"/>
        <v>1377.0899999999997</v>
      </c>
      <c r="N25" s="237">
        <v>93.893</v>
      </c>
      <c r="O25" s="599">
        <v>1283.1969999999997</v>
      </c>
      <c r="Q25" s="216">
        <v>2013</v>
      </c>
      <c r="R25" s="216">
        <v>11050.719000000003</v>
      </c>
      <c r="S25" s="222">
        <v>3556.182</v>
      </c>
      <c r="T25" s="222">
        <v>7413.837000000002</v>
      </c>
      <c r="U25" s="216">
        <v>80</v>
      </c>
      <c r="W25" s="296"/>
    </row>
    <row r="26" spans="2:20" ht="12.75">
      <c r="B26" s="242">
        <v>2012</v>
      </c>
      <c r="C26" s="227">
        <f t="shared" si="1"/>
        <v>9699.096999999998</v>
      </c>
      <c r="D26" s="228">
        <f>SUM(I26,N26)</f>
        <v>3483.973999999999</v>
      </c>
      <c r="E26" s="229">
        <f>SUM(J26,O26)</f>
        <v>6134.422999999999</v>
      </c>
      <c r="F26" s="229">
        <f>SUM(K26)</f>
        <v>80</v>
      </c>
      <c r="G26" s="245">
        <f>SUM(L26)</f>
        <v>0.7</v>
      </c>
      <c r="H26" s="228">
        <f t="shared" si="3"/>
        <v>8267.170999999998</v>
      </c>
      <c r="I26" s="243">
        <v>3380.829999999999</v>
      </c>
      <c r="J26" s="243">
        <v>4805.640999999999</v>
      </c>
      <c r="K26" s="243">
        <v>80</v>
      </c>
      <c r="L26" s="245">
        <v>0.7</v>
      </c>
      <c r="M26" s="228">
        <f t="shared" si="7"/>
        <v>1431.9260000000006</v>
      </c>
      <c r="N26" s="245">
        <v>103.14399999999998</v>
      </c>
      <c r="O26" s="233">
        <v>1328.7820000000006</v>
      </c>
      <c r="R26" s="222"/>
      <c r="S26" s="222"/>
      <c r="T26" s="222"/>
    </row>
    <row r="27" spans="2:20" ht="12.75">
      <c r="B27" s="235">
        <v>2013</v>
      </c>
      <c r="C27" s="236">
        <f t="shared" si="1"/>
        <v>11050.719000000003</v>
      </c>
      <c r="D27" s="237">
        <f>SUM(I27,N27)</f>
        <v>3556.182</v>
      </c>
      <c r="E27" s="238">
        <f>SUM(J27,O27)</f>
        <v>7413.837000000002</v>
      </c>
      <c r="F27" s="238">
        <f>SUM(K27)</f>
        <v>80</v>
      </c>
      <c r="G27" s="248">
        <f>SUM(L27)</f>
        <v>0.7</v>
      </c>
      <c r="H27" s="237">
        <f t="shared" si="3"/>
        <v>9634.631000000003</v>
      </c>
      <c r="I27" s="237">
        <v>3450.5469999999996</v>
      </c>
      <c r="J27" s="237">
        <v>6103.384000000003</v>
      </c>
      <c r="K27" s="246">
        <v>80</v>
      </c>
      <c r="L27" s="248">
        <v>0.7</v>
      </c>
      <c r="M27" s="237">
        <f t="shared" si="7"/>
        <v>1416.0879999999997</v>
      </c>
      <c r="N27" s="237">
        <v>105.635</v>
      </c>
      <c r="O27" s="599">
        <v>1310.4529999999997</v>
      </c>
      <c r="R27" s="222"/>
      <c r="S27" s="222"/>
      <c r="T27" s="222"/>
    </row>
    <row r="28" spans="2:20" ht="13.5" thickBot="1">
      <c r="B28" s="857"/>
      <c r="C28" s="858"/>
      <c r="D28" s="859"/>
      <c r="E28" s="860"/>
      <c r="F28" s="860"/>
      <c r="G28" s="861"/>
      <c r="H28" s="859"/>
      <c r="I28" s="859"/>
      <c r="J28" s="859"/>
      <c r="K28" s="862"/>
      <c r="L28" s="861"/>
      <c r="M28" s="859"/>
      <c r="N28" s="859"/>
      <c r="O28" s="863"/>
      <c r="R28" s="222"/>
      <c r="S28" s="222"/>
      <c r="T28" s="222"/>
    </row>
    <row r="29" spans="2:26" ht="12.75">
      <c r="B29" s="282" t="s">
        <v>254</v>
      </c>
      <c r="C29" s="283">
        <f>(C27/C26)-1</f>
        <v>0.1393554472132823</v>
      </c>
      <c r="D29" s="596">
        <f>(D27/D26)-1</f>
        <v>0.020725757425285263</v>
      </c>
      <c r="E29" s="285">
        <f>(E27/E26)-1</f>
        <v>0.20856305474858905</v>
      </c>
      <c r="F29" s="267"/>
      <c r="G29" s="276"/>
      <c r="H29" s="597">
        <f>(H27/H26)-1</f>
        <v>0.16540845713727292</v>
      </c>
      <c r="I29" s="596">
        <f>(I27/I26)-1</f>
        <v>0.0206212675585582</v>
      </c>
      <c r="J29" s="598">
        <f>(J27/J26)-1</f>
        <v>0.2700457649666308</v>
      </c>
      <c r="K29" s="368"/>
      <c r="L29" s="276"/>
      <c r="M29" s="283">
        <f>(M27/M26)-1</f>
        <v>-0.011060627434658521</v>
      </c>
      <c r="N29" s="284">
        <f>(N27/N26)-1</f>
        <v>0.02415070193128077</v>
      </c>
      <c r="O29" s="285">
        <f>(O27/O26)-1</f>
        <v>-0.013793835256649234</v>
      </c>
      <c r="R29" s="222"/>
      <c r="S29" s="222"/>
      <c r="T29" s="222"/>
      <c r="W29" s="269"/>
      <c r="X29" s="270"/>
      <c r="Y29" s="270"/>
      <c r="Z29" s="271"/>
    </row>
    <row r="30" spans="2:26" s="254" customFormat="1" ht="12.75" customHeight="1">
      <c r="B30" s="272" t="s">
        <v>255</v>
      </c>
      <c r="C30" s="273">
        <f>((C27/C22)^(1/5))-1</f>
        <v>0.09073828476623524</v>
      </c>
      <c r="D30" s="274">
        <f>((D27/D22)^(1/5))-1</f>
        <v>0.018669955180861342</v>
      </c>
      <c r="E30" s="275">
        <f>((E27/E22)^(1/5))-1</f>
        <v>0.13620740825554778</v>
      </c>
      <c r="F30" s="267"/>
      <c r="G30" s="276"/>
      <c r="H30" s="273">
        <f>((H27/H22)^(1/5))-1</f>
        <v>0.09946258218125803</v>
      </c>
      <c r="I30" s="274">
        <f>((I27/I22)^(1/5))-1</f>
        <v>0.018261445949386834</v>
      </c>
      <c r="J30" s="275">
        <f>((J27/J22)^(1/5))-1</f>
        <v>0.1649860857580263</v>
      </c>
      <c r="K30" s="267"/>
      <c r="L30" s="277"/>
      <c r="M30" s="273">
        <f>((M27/M22)^(1/5))-1</f>
        <v>0.04053141270792304</v>
      </c>
      <c r="N30" s="274">
        <f>((N27/N22)^(1/5))-1</f>
        <v>0.03258223123979764</v>
      </c>
      <c r="O30" s="275">
        <f>((O27/O22)^(1/5))-1</f>
        <v>0.04118838669021385</v>
      </c>
      <c r="R30" s="278"/>
      <c r="S30" s="278"/>
      <c r="T30" s="278"/>
      <c r="W30" s="279"/>
      <c r="X30" s="280"/>
      <c r="Y30" s="280"/>
      <c r="Z30" s="281"/>
    </row>
    <row r="31" spans="2:26" ht="12.75">
      <c r="B31" s="282" t="s">
        <v>256</v>
      </c>
      <c r="C31" s="283">
        <f>(C27/C14)-1</f>
        <v>0.821690521017397</v>
      </c>
      <c r="D31" s="284">
        <f>(D27/D14)-1</f>
        <v>0.24480218424299682</v>
      </c>
      <c r="E31" s="285">
        <f>(E27/E14)-1</f>
        <v>1.3105681991009348</v>
      </c>
      <c r="F31" s="267"/>
      <c r="G31" s="276"/>
      <c r="H31" s="283">
        <f>(H27/H14)-1</f>
        <v>0.8712196177360743</v>
      </c>
      <c r="I31" s="284">
        <f>(I27/I14)-1</f>
        <v>0.2415344372242969</v>
      </c>
      <c r="J31" s="285">
        <f>(J27/J14)-1</f>
        <v>1.5764731260323934</v>
      </c>
      <c r="K31" s="267"/>
      <c r="L31" s="277"/>
      <c r="M31" s="283">
        <f>(M27/M14)-1</f>
        <v>0.5436927283073409</v>
      </c>
      <c r="N31" s="284">
        <f>(N27/N14)-1</f>
        <v>0.3618900277186876</v>
      </c>
      <c r="O31" s="285">
        <f>(O27/O14)-1</f>
        <v>0.560484797677467</v>
      </c>
      <c r="R31" s="222"/>
      <c r="S31" s="222"/>
      <c r="T31" s="222"/>
      <c r="W31" s="286"/>
      <c r="X31" s="287"/>
      <c r="Y31" s="287"/>
      <c r="Z31" s="288"/>
    </row>
    <row r="32" spans="2:26" s="254" customFormat="1" ht="12.75" customHeight="1" thickBot="1">
      <c r="B32" s="289" t="s">
        <v>257</v>
      </c>
      <c r="C32" s="290">
        <f>((C27/C14)^(1/13))-1</f>
        <v>0.04721657526860157</v>
      </c>
      <c r="D32" s="291">
        <f>((D27/D14)^(1/13))-1</f>
        <v>0.016987022166996102</v>
      </c>
      <c r="E32" s="292">
        <f>((E27/E14)^(1/13))-1</f>
        <v>0.0665429973756495</v>
      </c>
      <c r="F32" s="267"/>
      <c r="G32" s="277"/>
      <c r="H32" s="290">
        <f>((H27/H14)^(1/13))-1</f>
        <v>0.04937973714996313</v>
      </c>
      <c r="I32" s="291">
        <f>((I27/I14)^(1/13))-1</f>
        <v>0.016781410904954663</v>
      </c>
      <c r="J32" s="293">
        <f>((J27/J14)^(1/13))-1</f>
        <v>0.07551718761034532</v>
      </c>
      <c r="K32" s="267"/>
      <c r="L32" s="277"/>
      <c r="M32" s="290">
        <f>((M27/M14)^(1/13))-1</f>
        <v>0.033962246367569726</v>
      </c>
      <c r="N32" s="291">
        <f>((N27/N14)^(1/13))-1</f>
        <v>0.02404400263584905</v>
      </c>
      <c r="O32" s="293">
        <f>((O27/O14)^(1/13))-1</f>
        <v>0.03482310920774179</v>
      </c>
      <c r="W32" s="294"/>
      <c r="X32" s="295"/>
      <c r="Y32" s="295"/>
      <c r="Z32" s="295"/>
    </row>
    <row r="33" spans="2:26" ht="12.75">
      <c r="B33" s="296"/>
      <c r="R33" s="216" t="s">
        <v>46</v>
      </c>
      <c r="W33" s="286"/>
      <c r="X33" s="297"/>
      <c r="Y33" s="297"/>
      <c r="Z33" s="298"/>
    </row>
    <row r="34" spans="2:26" ht="12.75">
      <c r="B34" s="299"/>
      <c r="R34" s="216" t="s">
        <v>0</v>
      </c>
      <c r="S34" s="216" t="s">
        <v>4</v>
      </c>
      <c r="T34" s="216" t="s">
        <v>5</v>
      </c>
      <c r="U34" s="216" t="s">
        <v>61</v>
      </c>
      <c r="W34" s="300"/>
      <c r="X34" s="301"/>
      <c r="Y34" s="301"/>
      <c r="Z34" s="302"/>
    </row>
    <row r="35" spans="17:26" ht="12.75">
      <c r="Q35" s="216">
        <v>1995</v>
      </c>
      <c r="R35" s="222">
        <f aca="true" t="shared" si="8" ref="R35:R51">H9</f>
        <v>3185.7</v>
      </c>
      <c r="S35" s="222">
        <f aca="true" t="shared" si="9" ref="S35:S51">I9</f>
        <v>2190</v>
      </c>
      <c r="T35" s="222">
        <f aca="true" t="shared" si="10" ref="T35:T51">J9</f>
        <v>995.7</v>
      </c>
      <c r="U35" s="595" t="s">
        <v>91</v>
      </c>
      <c r="W35" s="303"/>
      <c r="X35" s="304"/>
      <c r="Y35" s="304"/>
      <c r="Z35" s="305"/>
    </row>
    <row r="36" spans="17:21" ht="12.75">
      <c r="Q36" s="216">
        <v>1996</v>
      </c>
      <c r="R36" s="222">
        <f t="shared" si="8"/>
        <v>3352.881</v>
      </c>
      <c r="S36" s="222">
        <f t="shared" si="9"/>
        <v>2200.1839999999997</v>
      </c>
      <c r="T36" s="222">
        <f t="shared" si="10"/>
        <v>1152.4470000000001</v>
      </c>
      <c r="U36" s="595" t="s">
        <v>91</v>
      </c>
    </row>
    <row r="37" spans="17:21" ht="12.75">
      <c r="Q37" s="216">
        <v>1997</v>
      </c>
      <c r="R37" s="222">
        <f t="shared" si="8"/>
        <v>4325.021</v>
      </c>
      <c r="S37" s="222">
        <f t="shared" si="9"/>
        <v>2411.519</v>
      </c>
      <c r="T37" s="222">
        <f t="shared" si="10"/>
        <v>1913.252</v>
      </c>
      <c r="U37" s="595" t="s">
        <v>91</v>
      </c>
    </row>
    <row r="38" spans="17:21" ht="12.75">
      <c r="Q38" s="216">
        <v>1998</v>
      </c>
      <c r="R38" s="222">
        <f t="shared" si="8"/>
        <v>4632.328</v>
      </c>
      <c r="S38" s="222">
        <f t="shared" si="9"/>
        <v>2467.416</v>
      </c>
      <c r="T38" s="222">
        <f t="shared" si="10"/>
        <v>2164.6119999999996</v>
      </c>
      <c r="U38" s="595" t="s">
        <v>91</v>
      </c>
    </row>
    <row r="39" spans="17:21" ht="12.75">
      <c r="Q39" s="216">
        <v>1999</v>
      </c>
      <c r="R39" s="222">
        <f t="shared" si="8"/>
        <v>4828.2429999999995</v>
      </c>
      <c r="S39" s="222">
        <f t="shared" si="9"/>
        <v>2587.129</v>
      </c>
      <c r="T39" s="222">
        <f t="shared" si="10"/>
        <v>2240.414</v>
      </c>
      <c r="U39" s="595" t="s">
        <v>91</v>
      </c>
    </row>
    <row r="40" spans="17:21" ht="12.75">
      <c r="Q40" s="216">
        <v>2000</v>
      </c>
      <c r="R40" s="222">
        <f t="shared" si="8"/>
        <v>5148.851</v>
      </c>
      <c r="S40" s="222">
        <f t="shared" si="9"/>
        <v>2779.26</v>
      </c>
      <c r="T40" s="222">
        <f t="shared" si="10"/>
        <v>2368.891</v>
      </c>
      <c r="U40" s="595" t="s">
        <v>91</v>
      </c>
    </row>
    <row r="41" spans="17:21" ht="12.75">
      <c r="Q41" s="216">
        <v>2001</v>
      </c>
      <c r="R41" s="222">
        <f t="shared" si="8"/>
        <v>5050.813999999999</v>
      </c>
      <c r="S41" s="222">
        <f t="shared" si="9"/>
        <v>2889.433</v>
      </c>
      <c r="T41" s="222">
        <f t="shared" si="10"/>
        <v>2160.681</v>
      </c>
      <c r="U41" s="595" t="s">
        <v>91</v>
      </c>
    </row>
    <row r="42" spans="17:21" ht="12.75">
      <c r="Q42" s="250">
        <v>2002</v>
      </c>
      <c r="R42" s="222">
        <f t="shared" si="8"/>
        <v>5068.051</v>
      </c>
      <c r="S42" s="222">
        <f t="shared" si="9"/>
        <v>2917.602000000001</v>
      </c>
      <c r="T42" s="222">
        <f t="shared" si="10"/>
        <v>2149.749</v>
      </c>
      <c r="U42" s="595" t="s">
        <v>91</v>
      </c>
    </row>
    <row r="43" spans="17:21" ht="12.75">
      <c r="Q43" s="216">
        <v>2003</v>
      </c>
      <c r="R43" s="222">
        <f t="shared" si="8"/>
        <v>5095.103</v>
      </c>
      <c r="S43" s="222">
        <f t="shared" si="9"/>
        <v>2946.8210000000004</v>
      </c>
      <c r="T43" s="222">
        <f t="shared" si="10"/>
        <v>2147.582</v>
      </c>
      <c r="U43" s="595" t="s">
        <v>91</v>
      </c>
    </row>
    <row r="44" spans="17:21" ht="12.75">
      <c r="Q44" s="216">
        <v>2004</v>
      </c>
      <c r="R44" s="222">
        <f t="shared" si="8"/>
        <v>5096.021600000003</v>
      </c>
      <c r="S44" s="222">
        <f t="shared" si="9"/>
        <v>2969.0596000000023</v>
      </c>
      <c r="T44" s="222">
        <f t="shared" si="10"/>
        <v>2126.262</v>
      </c>
      <c r="U44" s="595" t="s">
        <v>91</v>
      </c>
    </row>
    <row r="45" spans="17:21" ht="12.75">
      <c r="Q45" s="216">
        <v>2005</v>
      </c>
      <c r="R45" s="222">
        <f t="shared" si="8"/>
        <v>5220.6336</v>
      </c>
      <c r="S45" s="222">
        <f t="shared" si="9"/>
        <v>3119.1996000000004</v>
      </c>
      <c r="T45" s="222">
        <f t="shared" si="10"/>
        <v>2100.7339999999995</v>
      </c>
      <c r="U45" s="595" t="s">
        <v>91</v>
      </c>
    </row>
    <row r="46" spans="17:21" ht="12.75">
      <c r="Q46" s="216">
        <v>2006</v>
      </c>
      <c r="R46" s="222">
        <f t="shared" si="8"/>
        <v>5625.1416</v>
      </c>
      <c r="S46" s="222">
        <f t="shared" si="9"/>
        <v>3127.8006</v>
      </c>
      <c r="T46" s="222">
        <f t="shared" si="10"/>
        <v>2496.641</v>
      </c>
      <c r="U46" s="595" t="s">
        <v>91</v>
      </c>
    </row>
    <row r="47" spans="17:21" ht="12.75">
      <c r="Q47" s="250">
        <v>2007</v>
      </c>
      <c r="R47" s="222">
        <f t="shared" si="8"/>
        <v>5989.7252</v>
      </c>
      <c r="S47" s="222">
        <f t="shared" si="9"/>
        <v>3145.1412000000005</v>
      </c>
      <c r="T47" s="222">
        <f t="shared" si="10"/>
        <v>2843.884</v>
      </c>
      <c r="U47" s="595" t="s">
        <v>91</v>
      </c>
    </row>
    <row r="48" spans="17:21" ht="12.75">
      <c r="Q48" s="216">
        <v>2008</v>
      </c>
      <c r="R48" s="222">
        <f t="shared" si="8"/>
        <v>5996.983000000003</v>
      </c>
      <c r="S48" s="222">
        <f t="shared" si="9"/>
        <v>3152.038000000002</v>
      </c>
      <c r="T48" s="222">
        <f t="shared" si="10"/>
        <v>2844.245000000001</v>
      </c>
      <c r="U48" s="595" t="s">
        <v>91</v>
      </c>
    </row>
    <row r="49" spans="17:21" ht="12.75">
      <c r="Q49" s="216">
        <v>2009</v>
      </c>
      <c r="R49" s="222">
        <f t="shared" si="8"/>
        <v>6723.516000000002</v>
      </c>
      <c r="S49" s="222">
        <f t="shared" si="9"/>
        <v>3183.1260000000016</v>
      </c>
      <c r="T49" s="222">
        <f t="shared" si="10"/>
        <v>3539.6900000000005</v>
      </c>
      <c r="U49" s="595" t="s">
        <v>91</v>
      </c>
    </row>
    <row r="50" spans="17:21" ht="12.75">
      <c r="Q50" s="216">
        <v>2010</v>
      </c>
      <c r="R50" s="222">
        <f t="shared" si="8"/>
        <v>7309.165999999998</v>
      </c>
      <c r="S50" s="222">
        <f t="shared" si="9"/>
        <v>3344.795</v>
      </c>
      <c r="T50" s="222">
        <f t="shared" si="10"/>
        <v>3963.670999999999</v>
      </c>
      <c r="U50" s="595" t="s">
        <v>91</v>
      </c>
    </row>
    <row r="51" spans="17:21" ht="12.75">
      <c r="Q51" s="216">
        <v>2011</v>
      </c>
      <c r="R51" s="222">
        <f t="shared" si="8"/>
        <v>7314.236999999998</v>
      </c>
      <c r="S51" s="222">
        <f t="shared" si="9"/>
        <v>3357.0599999999995</v>
      </c>
      <c r="T51" s="222">
        <f t="shared" si="10"/>
        <v>3956.4769999999994</v>
      </c>
      <c r="U51" s="595" t="s">
        <v>91</v>
      </c>
    </row>
    <row r="52" spans="17:21" ht="12.75">
      <c r="Q52" s="216">
        <v>2012</v>
      </c>
      <c r="R52" s="222">
        <v>8267.170999999998</v>
      </c>
      <c r="S52" s="222">
        <v>3380.829999999999</v>
      </c>
      <c r="T52" s="222">
        <v>4805.640999999999</v>
      </c>
      <c r="U52" s="216">
        <v>80</v>
      </c>
    </row>
    <row r="53" spans="17:21" ht="12.75">
      <c r="Q53" s="216">
        <v>2013</v>
      </c>
      <c r="R53" s="222">
        <v>9634.631000000003</v>
      </c>
      <c r="S53" s="222">
        <v>3450.5469999999996</v>
      </c>
      <c r="T53" s="222">
        <v>6103.384000000003</v>
      </c>
      <c r="U53" s="216">
        <v>80</v>
      </c>
    </row>
    <row r="56" ht="12.75">
      <c r="R56" s="216" t="s">
        <v>47</v>
      </c>
    </row>
    <row r="57" spans="18:20" ht="12.75">
      <c r="R57" s="216" t="s">
        <v>0</v>
      </c>
      <c r="S57" s="216" t="s">
        <v>4</v>
      </c>
      <c r="T57" s="216" t="s">
        <v>5</v>
      </c>
    </row>
    <row r="58" spans="17:20" ht="12.75">
      <c r="Q58" s="216">
        <v>1995</v>
      </c>
      <c r="R58" s="222">
        <f aca="true" t="shared" si="11" ref="R58:R74">M9</f>
        <v>1276</v>
      </c>
      <c r="S58" s="222">
        <f aca="true" t="shared" si="12" ref="S58:S74">N9</f>
        <v>289.4</v>
      </c>
      <c r="T58" s="222">
        <f aca="true" t="shared" si="13" ref="T58:T74">O9</f>
        <v>986.5999999999999</v>
      </c>
    </row>
    <row r="59" spans="17:20" ht="12.75">
      <c r="Q59" s="216">
        <v>1996</v>
      </c>
      <c r="R59" s="222">
        <f t="shared" si="11"/>
        <v>1309.724</v>
      </c>
      <c r="S59" s="222">
        <f t="shared" si="12"/>
        <v>292.54</v>
      </c>
      <c r="T59" s="222">
        <f t="shared" si="13"/>
        <v>1017.184</v>
      </c>
    </row>
    <row r="60" spans="17:20" ht="12.75">
      <c r="Q60" s="216">
        <v>1997</v>
      </c>
      <c r="R60" s="222">
        <f t="shared" si="11"/>
        <v>867.477</v>
      </c>
      <c r="S60" s="222">
        <f t="shared" si="12"/>
        <v>101.475</v>
      </c>
      <c r="T60" s="222">
        <f t="shared" si="13"/>
        <v>766.002</v>
      </c>
    </row>
    <row r="61" spans="17:20" ht="12.75">
      <c r="Q61" s="216">
        <v>1998</v>
      </c>
      <c r="R61" s="222">
        <f t="shared" si="11"/>
        <v>883.0120000000001</v>
      </c>
      <c r="S61" s="222">
        <f t="shared" si="12"/>
        <v>104.645</v>
      </c>
      <c r="T61" s="222">
        <f t="shared" si="13"/>
        <v>778.3670000000001</v>
      </c>
    </row>
    <row r="62" spans="17:20" ht="12.75">
      <c r="Q62" s="216">
        <v>1999</v>
      </c>
      <c r="R62" s="222">
        <f t="shared" si="11"/>
        <v>914.185</v>
      </c>
      <c r="S62" s="222">
        <f t="shared" si="12"/>
        <v>86.15099999999998</v>
      </c>
      <c r="T62" s="222">
        <f t="shared" si="13"/>
        <v>828.034</v>
      </c>
    </row>
    <row r="63" spans="17:20" ht="12.75">
      <c r="Q63" s="216">
        <v>2000</v>
      </c>
      <c r="R63" s="222">
        <f t="shared" si="11"/>
        <v>917.3380000000002</v>
      </c>
      <c r="S63" s="222">
        <f t="shared" si="12"/>
        <v>77.565</v>
      </c>
      <c r="T63" s="222">
        <f t="shared" si="13"/>
        <v>839.7730000000001</v>
      </c>
    </row>
    <row r="64" spans="17:20" ht="12.75">
      <c r="Q64" s="216">
        <v>2001</v>
      </c>
      <c r="R64" s="222">
        <f t="shared" si="11"/>
        <v>855.879</v>
      </c>
      <c r="S64" s="222">
        <f t="shared" si="12"/>
        <v>76.895</v>
      </c>
      <c r="T64" s="222">
        <f t="shared" si="13"/>
        <v>778.984</v>
      </c>
    </row>
    <row r="65" spans="17:20" ht="12.75">
      <c r="Q65" s="216">
        <v>2002</v>
      </c>
      <c r="R65" s="222">
        <f t="shared" si="11"/>
        <v>867.4819999999997</v>
      </c>
      <c r="S65" s="222">
        <f t="shared" si="12"/>
        <v>78.86899999999997</v>
      </c>
      <c r="T65" s="222">
        <f t="shared" si="13"/>
        <v>788.6129999999998</v>
      </c>
    </row>
    <row r="66" spans="17:20" ht="12.75">
      <c r="Q66" s="216">
        <v>2003</v>
      </c>
      <c r="R66" s="222">
        <f t="shared" si="11"/>
        <v>874.96</v>
      </c>
      <c r="S66" s="222">
        <f t="shared" si="12"/>
        <v>85.48599999999999</v>
      </c>
      <c r="T66" s="222">
        <f t="shared" si="13"/>
        <v>789.474</v>
      </c>
    </row>
    <row r="67" spans="17:20" ht="12.75">
      <c r="Q67" s="216">
        <v>2004</v>
      </c>
      <c r="R67" s="222">
        <f t="shared" si="11"/>
        <v>920.297</v>
      </c>
      <c r="S67" s="222">
        <f t="shared" si="12"/>
        <v>86.80799999999996</v>
      </c>
      <c r="T67" s="222">
        <f t="shared" si="13"/>
        <v>833.489</v>
      </c>
    </row>
    <row r="68" spans="17:20" ht="12.75">
      <c r="Q68" s="216">
        <v>2005</v>
      </c>
      <c r="R68" s="222">
        <f t="shared" si="11"/>
        <v>979.8919999999999</v>
      </c>
      <c r="S68" s="222">
        <f t="shared" si="12"/>
        <v>87.86199999999998</v>
      </c>
      <c r="T68" s="222">
        <f t="shared" si="13"/>
        <v>892.03</v>
      </c>
    </row>
    <row r="69" spans="17:20" ht="12.75">
      <c r="Q69" s="216">
        <v>2006</v>
      </c>
      <c r="R69" s="222">
        <f t="shared" si="11"/>
        <v>1033.0019999999997</v>
      </c>
      <c r="S69" s="222">
        <f t="shared" si="12"/>
        <v>88.202</v>
      </c>
      <c r="T69" s="222">
        <f t="shared" si="13"/>
        <v>944.7999999999997</v>
      </c>
    </row>
    <row r="70" spans="17:20" ht="12.75">
      <c r="Q70" s="250">
        <v>2007</v>
      </c>
      <c r="R70" s="222">
        <f t="shared" si="11"/>
        <v>1037.792</v>
      </c>
      <c r="S70" s="222">
        <f t="shared" si="12"/>
        <v>88.457</v>
      </c>
      <c r="T70" s="222">
        <f t="shared" si="13"/>
        <v>949.3349999999999</v>
      </c>
    </row>
    <row r="71" spans="17:20" ht="12.75">
      <c r="Q71" s="216">
        <v>2008</v>
      </c>
      <c r="R71" s="222">
        <f t="shared" si="11"/>
        <v>1160.9520000000007</v>
      </c>
      <c r="S71" s="222">
        <f t="shared" si="12"/>
        <v>89.98799999999997</v>
      </c>
      <c r="T71" s="222">
        <f t="shared" si="13"/>
        <v>1070.9640000000006</v>
      </c>
    </row>
    <row r="72" spans="17:20" ht="12.75">
      <c r="Q72" s="216">
        <v>2009</v>
      </c>
      <c r="R72" s="222">
        <f t="shared" si="11"/>
        <v>1262.9800000000002</v>
      </c>
      <c r="S72" s="222">
        <f t="shared" si="12"/>
        <v>94.338</v>
      </c>
      <c r="T72" s="222">
        <f t="shared" si="13"/>
        <v>1168.6420000000003</v>
      </c>
    </row>
    <row r="73" spans="17:20" ht="12.75">
      <c r="Q73" s="216">
        <v>2010</v>
      </c>
      <c r="R73" s="222">
        <f t="shared" si="11"/>
        <v>1303.3909999999996</v>
      </c>
      <c r="S73" s="222">
        <f t="shared" si="12"/>
        <v>92.80700000000002</v>
      </c>
      <c r="T73" s="222">
        <f t="shared" si="13"/>
        <v>1210.5839999999996</v>
      </c>
    </row>
    <row r="74" spans="17:20" ht="12.75">
      <c r="Q74" s="216">
        <v>2011</v>
      </c>
      <c r="R74" s="222">
        <f t="shared" si="11"/>
        <v>1377.0899999999997</v>
      </c>
      <c r="S74" s="222">
        <f t="shared" si="12"/>
        <v>93.893</v>
      </c>
      <c r="T74" s="222">
        <f t="shared" si="13"/>
        <v>1283.1969999999997</v>
      </c>
    </row>
    <row r="75" spans="17:20" ht="12.75">
      <c r="Q75" s="216">
        <v>2012</v>
      </c>
      <c r="R75" s="222">
        <v>1431.9260000000006</v>
      </c>
      <c r="S75" s="222">
        <v>103.14399999999998</v>
      </c>
      <c r="T75" s="222">
        <v>1328.7820000000006</v>
      </c>
    </row>
    <row r="76" spans="17:20" ht="12.75">
      <c r="Q76" s="216">
        <v>2013</v>
      </c>
      <c r="R76" s="222">
        <v>1416.0879999999997</v>
      </c>
      <c r="S76" s="222">
        <v>105.635</v>
      </c>
      <c r="T76" s="222">
        <v>1310.4529999999997</v>
      </c>
    </row>
  </sheetData>
  <sheetProtection/>
  <printOptions horizontalCentered="1" verticalCentered="1"/>
  <pageMargins left="0.9055118110236221" right="0.5905511811023623" top="0.7874015748031497" bottom="0.7086614173228347" header="0" footer="0"/>
  <pageSetup fitToHeight="1" fitToWidth="1" horizontalDpi="600" verticalDpi="600" orientation="portrait" paperSize="9" scale="5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view="pageBreakPreview" zoomScale="115" zoomScaleSheetLayoutView="115" zoomScalePageLayoutView="0" workbookViewId="0" topLeftCell="A1">
      <selection activeCell="H19" sqref="H19"/>
    </sheetView>
  </sheetViews>
  <sheetFormatPr defaultColWidth="11.421875" defaultRowHeight="12.75"/>
  <cols>
    <col min="1" max="1" width="22.7109375" style="0" customWidth="1"/>
    <col min="2" max="6" width="12.7109375" style="0" customWidth="1"/>
    <col min="7" max="17" width="10.7109375" style="0" customWidth="1"/>
    <col min="21" max="21" width="12.57421875" style="0" bestFit="1" customWidth="1"/>
  </cols>
  <sheetData>
    <row r="1" spans="1:2" ht="15.75">
      <c r="A1" s="16"/>
      <c r="B1" s="16"/>
    </row>
    <row r="2" spans="1:23" ht="15.75">
      <c r="A2" s="543" t="s">
        <v>304</v>
      </c>
      <c r="B2" s="2"/>
      <c r="C2" s="2"/>
      <c r="D2" s="2"/>
      <c r="E2" s="2"/>
      <c r="F2" s="2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15">
      <c r="A3" s="18"/>
      <c r="B3" s="18"/>
      <c r="C3" s="18"/>
      <c r="D3" s="18"/>
      <c r="E3" s="18"/>
      <c r="F3" s="18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73"/>
      <c r="W3" s="19"/>
    </row>
    <row r="4" spans="9:23" ht="13.5" thickBot="1"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73"/>
      <c r="W4" s="19"/>
    </row>
    <row r="5" spans="1:23" ht="16.5" customHeight="1" thickBot="1">
      <c r="A5" s="897"/>
      <c r="B5" s="1092" t="s">
        <v>51</v>
      </c>
      <c r="C5" s="1093"/>
      <c r="D5" s="1093"/>
      <c r="E5" s="1093"/>
      <c r="F5" s="1094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73"/>
      <c r="W5" s="19"/>
    </row>
    <row r="6" spans="1:23" ht="12.75" customHeight="1">
      <c r="A6" s="898" t="s">
        <v>18</v>
      </c>
      <c r="B6" s="1095" t="s">
        <v>40</v>
      </c>
      <c r="C6" s="1097" t="s">
        <v>41</v>
      </c>
      <c r="D6" s="1097" t="s">
        <v>42</v>
      </c>
      <c r="E6" s="1099" t="s">
        <v>43</v>
      </c>
      <c r="F6" s="1101" t="s">
        <v>0</v>
      </c>
      <c r="G6" s="20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73"/>
      <c r="W6" s="19"/>
    </row>
    <row r="7" spans="1:23" ht="15.75" customHeight="1" thickBot="1">
      <c r="A7" s="899"/>
      <c r="B7" s="1096"/>
      <c r="C7" s="1098"/>
      <c r="D7" s="1098"/>
      <c r="E7" s="1100"/>
      <c r="F7" s="1102"/>
      <c r="G7" s="20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73"/>
      <c r="W7" s="19"/>
    </row>
    <row r="8" spans="1:12" ht="12.75">
      <c r="A8" s="60">
        <v>1995</v>
      </c>
      <c r="B8" s="64">
        <v>229035.54403785348</v>
      </c>
      <c r="C8" s="44">
        <v>200811.42160772084</v>
      </c>
      <c r="D8" s="44">
        <v>355896.20422925544</v>
      </c>
      <c r="E8" s="44">
        <v>40932.83181491251</v>
      </c>
      <c r="F8" s="66">
        <f aca="true" t="shared" si="0" ref="F8:F20">B8+C8+D8+E8</f>
        <v>826676.0016897422</v>
      </c>
      <c r="G8" s="20"/>
      <c r="I8" s="85"/>
      <c r="J8" s="85"/>
      <c r="K8" s="85"/>
      <c r="L8" s="85"/>
    </row>
    <row r="9" spans="1:12" ht="12.75">
      <c r="A9" s="60">
        <v>1996</v>
      </c>
      <c r="B9" s="64">
        <v>258447.72612741796</v>
      </c>
      <c r="C9" s="44">
        <v>213222.6714817289</v>
      </c>
      <c r="D9" s="44">
        <v>372677.7759955188</v>
      </c>
      <c r="E9" s="44">
        <v>49022.22153615176</v>
      </c>
      <c r="F9" s="66">
        <f t="shared" si="0"/>
        <v>893370.3951408174</v>
      </c>
      <c r="G9" s="20"/>
      <c r="I9" s="85"/>
      <c r="J9" s="85"/>
      <c r="K9" s="85"/>
      <c r="L9" s="85"/>
    </row>
    <row r="10" spans="1:12" ht="12.75">
      <c r="A10" s="60">
        <v>1997</v>
      </c>
      <c r="B10" s="64">
        <v>355516.10470524785</v>
      </c>
      <c r="C10" s="44">
        <v>221239.00181128312</v>
      </c>
      <c r="D10" s="44">
        <v>392117.28436542355</v>
      </c>
      <c r="E10" s="44">
        <v>50665.14573498242</v>
      </c>
      <c r="F10" s="66">
        <f t="shared" si="0"/>
        <v>1019537.5366169369</v>
      </c>
      <c r="G10" s="20"/>
      <c r="I10" s="85"/>
      <c r="J10" s="85"/>
      <c r="K10" s="85"/>
      <c r="L10" s="85"/>
    </row>
    <row r="11" spans="1:12" ht="12.75">
      <c r="A11" s="60">
        <v>1998</v>
      </c>
      <c r="B11" s="64">
        <v>405108.5881039902</v>
      </c>
      <c r="C11" s="44">
        <v>175416.57536486135</v>
      </c>
      <c r="D11" s="44">
        <v>362781.2183589289</v>
      </c>
      <c r="E11" s="44">
        <v>44838.588717470884</v>
      </c>
      <c r="F11" s="66">
        <f t="shared" si="0"/>
        <v>988144.9705452513</v>
      </c>
      <c r="G11" s="20"/>
      <c r="I11" s="85"/>
      <c r="J11" s="85"/>
      <c r="K11" s="85"/>
      <c r="L11" s="85"/>
    </row>
    <row r="12" spans="1:12" ht="12.75">
      <c r="A12" s="60">
        <v>1999</v>
      </c>
      <c r="B12" s="64">
        <v>419536.4476394161</v>
      </c>
      <c r="C12" s="44">
        <v>170042.7141646184</v>
      </c>
      <c r="D12" s="44">
        <v>358196.5456484213</v>
      </c>
      <c r="E12" s="44">
        <v>44183.660814274546</v>
      </c>
      <c r="F12" s="66">
        <f t="shared" si="0"/>
        <v>991959.3682667303</v>
      </c>
      <c r="G12" s="20"/>
      <c r="I12" s="85"/>
      <c r="J12" s="85"/>
      <c r="K12" s="85"/>
      <c r="L12" s="85"/>
    </row>
    <row r="13" spans="1:12" ht="12.75">
      <c r="A13" s="60">
        <v>2000</v>
      </c>
      <c r="B13" s="64">
        <v>470947.3194047269</v>
      </c>
      <c r="C13" s="44">
        <v>197172.92008066195</v>
      </c>
      <c r="D13" s="44">
        <v>396689.5818287808</v>
      </c>
      <c r="E13" s="44">
        <v>48259.678954052164</v>
      </c>
      <c r="F13" s="66">
        <f t="shared" si="0"/>
        <v>1113069.5002682218</v>
      </c>
      <c r="G13" s="20"/>
      <c r="I13" s="85"/>
      <c r="J13" s="85"/>
      <c r="K13" s="85"/>
      <c r="L13" s="85"/>
    </row>
    <row r="14" spans="1:12" ht="12.75">
      <c r="A14" s="60">
        <v>2001</v>
      </c>
      <c r="B14" s="64">
        <v>479868.2340975174</v>
      </c>
      <c r="C14" s="44">
        <v>202560.16293720153</v>
      </c>
      <c r="D14" s="44">
        <v>406024.2542681364</v>
      </c>
      <c r="E14" s="44">
        <v>50905.86253569314</v>
      </c>
      <c r="F14" s="66">
        <f t="shared" si="0"/>
        <v>1139358.5138385484</v>
      </c>
      <c r="G14" s="20"/>
      <c r="I14" s="85"/>
      <c r="J14" s="85"/>
      <c r="K14" s="85"/>
      <c r="L14" s="85"/>
    </row>
    <row r="15" spans="1:12" ht="12.75">
      <c r="A15" s="60">
        <v>2002</v>
      </c>
      <c r="B15" s="64">
        <v>488098.27845652425</v>
      </c>
      <c r="C15" s="44">
        <v>223817.5306764326</v>
      </c>
      <c r="D15" s="44">
        <v>400798.0547307923</v>
      </c>
      <c r="E15" s="44">
        <v>44353.29640398425</v>
      </c>
      <c r="F15" s="66">
        <f t="shared" si="0"/>
        <v>1157067.1602677335</v>
      </c>
      <c r="G15" s="20"/>
      <c r="I15" s="85"/>
      <c r="J15" s="85"/>
      <c r="K15" s="85"/>
      <c r="L15" s="85"/>
    </row>
    <row r="16" spans="1:12" ht="12.75">
      <c r="A16" s="60">
        <v>2003</v>
      </c>
      <c r="B16" s="64">
        <v>506532.8631156623</v>
      </c>
      <c r="C16" s="44">
        <v>238398.63946284784</v>
      </c>
      <c r="D16" s="44">
        <v>427974.9681613485</v>
      </c>
      <c r="E16" s="44">
        <v>44303.67292973665</v>
      </c>
      <c r="F16" s="66">
        <f t="shared" si="0"/>
        <v>1217210.1436695952</v>
      </c>
      <c r="G16" s="20"/>
      <c r="I16" s="85"/>
      <c r="J16" s="85"/>
      <c r="K16" s="85"/>
      <c r="L16" s="85"/>
    </row>
    <row r="17" spans="1:12" ht="12.75">
      <c r="A17" s="60">
        <v>2004</v>
      </c>
      <c r="B17" s="64">
        <v>596267.0443261712</v>
      </c>
      <c r="C17" s="44">
        <v>257743.9102776775</v>
      </c>
      <c r="D17" s="44">
        <v>470011.6333799953</v>
      </c>
      <c r="E17" s="44">
        <v>58277.423826264436</v>
      </c>
      <c r="F17" s="66">
        <f t="shared" si="0"/>
        <v>1382300.0118101083</v>
      </c>
      <c r="G17" s="20"/>
      <c r="I17" s="85"/>
      <c r="J17" s="85"/>
      <c r="K17" s="85"/>
      <c r="L17" s="85"/>
    </row>
    <row r="18" spans="1:12" ht="12.75">
      <c r="A18" s="60">
        <v>2005</v>
      </c>
      <c r="B18" s="64">
        <v>669716.05900216</v>
      </c>
      <c r="C18" s="44">
        <v>300420.25850854366</v>
      </c>
      <c r="D18" s="44">
        <v>544065.3677454039</v>
      </c>
      <c r="E18" s="44">
        <v>65007.58584027138</v>
      </c>
      <c r="F18" s="66">
        <f t="shared" si="0"/>
        <v>1579209.2710963788</v>
      </c>
      <c r="G18" s="20"/>
      <c r="I18" s="85"/>
      <c r="J18" s="85"/>
      <c r="K18" s="85"/>
      <c r="L18" s="85"/>
    </row>
    <row r="19" spans="1:12" ht="12.75">
      <c r="A19" s="88">
        <v>2006</v>
      </c>
      <c r="B19" s="64">
        <v>715993.8422671348</v>
      </c>
      <c r="C19" s="44">
        <v>317868.59748703917</v>
      </c>
      <c r="D19" s="44">
        <v>579597.9869781262</v>
      </c>
      <c r="E19" s="44">
        <v>69708.47757360786</v>
      </c>
      <c r="F19" s="66">
        <f t="shared" si="0"/>
        <v>1683168.9043059081</v>
      </c>
      <c r="G19" s="20"/>
      <c r="I19" s="85"/>
      <c r="J19" s="85"/>
      <c r="K19" s="85"/>
      <c r="L19" s="85"/>
    </row>
    <row r="20" spans="1:12" ht="12.75">
      <c r="A20" s="88">
        <v>2007</v>
      </c>
      <c r="B20" s="64">
        <v>794759.591697835</v>
      </c>
      <c r="C20" s="44">
        <v>340153.5027192707</v>
      </c>
      <c r="D20" s="44">
        <v>628258.8982124339</v>
      </c>
      <c r="E20" s="44">
        <v>67459.67080470189</v>
      </c>
      <c r="F20" s="66">
        <f t="shared" si="0"/>
        <v>1830631.6634342417</v>
      </c>
      <c r="G20" s="20"/>
      <c r="I20" s="85"/>
      <c r="J20" s="85"/>
      <c r="K20" s="85"/>
      <c r="L20" s="85"/>
    </row>
    <row r="21" spans="1:12" ht="12.75">
      <c r="A21" s="88">
        <v>2008</v>
      </c>
      <c r="B21" s="64">
        <v>1027831.8916520025</v>
      </c>
      <c r="C21" s="44">
        <v>399555.0703387963</v>
      </c>
      <c r="D21" s="44">
        <v>716691.0101019627</v>
      </c>
      <c r="E21" s="44">
        <v>72022.00109060491</v>
      </c>
      <c r="F21" s="66">
        <f aca="true" t="shared" si="1" ref="F21:F26">B21+C21+D21+E21</f>
        <v>2216099.9731833665</v>
      </c>
      <c r="G21" s="20"/>
      <c r="I21" s="85"/>
      <c r="J21" s="85"/>
      <c r="K21" s="85"/>
      <c r="L21" s="85"/>
    </row>
    <row r="22" spans="1:13" ht="12.75">
      <c r="A22" s="88">
        <v>2009</v>
      </c>
      <c r="B22" s="64">
        <v>910151.8288537087</v>
      </c>
      <c r="C22" s="44">
        <v>454550.7666593908</v>
      </c>
      <c r="D22" s="44">
        <v>792475.9295777844</v>
      </c>
      <c r="E22" s="44">
        <v>78879.62873892274</v>
      </c>
      <c r="F22" s="66">
        <f t="shared" si="1"/>
        <v>2236058.1538298065</v>
      </c>
      <c r="G22" s="20"/>
      <c r="I22" s="86"/>
      <c r="J22" s="86"/>
      <c r="K22" s="86"/>
      <c r="L22" s="86"/>
      <c r="M22" s="87"/>
    </row>
    <row r="23" spans="1:13" ht="12.75">
      <c r="A23" s="88">
        <v>2010</v>
      </c>
      <c r="B23" s="64">
        <v>971594.0860168211</v>
      </c>
      <c r="C23" s="44">
        <v>526340.0543340939</v>
      </c>
      <c r="D23" s="44">
        <v>864962.4236910528</v>
      </c>
      <c r="E23" s="44">
        <v>85638.46416099064</v>
      </c>
      <c r="F23" s="66">
        <f t="shared" si="1"/>
        <v>2448535.0282029584</v>
      </c>
      <c r="G23" s="20"/>
      <c r="I23" s="86"/>
      <c r="J23" s="86"/>
      <c r="K23" s="86"/>
      <c r="L23" s="86"/>
      <c r="M23" s="87"/>
    </row>
    <row r="24" spans="1:13" ht="12.75">
      <c r="A24" s="88">
        <v>2011</v>
      </c>
      <c r="B24" s="64">
        <v>1196612.7704490384</v>
      </c>
      <c r="C24" s="44">
        <v>568041.6832032925</v>
      </c>
      <c r="D24" s="44">
        <v>999500.053600992</v>
      </c>
      <c r="E24" s="44">
        <v>96237.04810547354</v>
      </c>
      <c r="F24" s="66">
        <f t="shared" si="1"/>
        <v>2860391.5553587964</v>
      </c>
      <c r="G24" s="20"/>
      <c r="I24" s="86"/>
      <c r="J24" s="86"/>
      <c r="K24" s="86"/>
      <c r="L24" s="86"/>
      <c r="M24" s="87"/>
    </row>
    <row r="25" spans="1:13" ht="12.75">
      <c r="A25" s="88">
        <v>2012</v>
      </c>
      <c r="B25" s="64">
        <v>1379656.1115939592</v>
      </c>
      <c r="C25" s="44">
        <v>665764.9390363934</v>
      </c>
      <c r="D25" s="44">
        <v>1143905.3448795595</v>
      </c>
      <c r="E25" s="44">
        <v>109799.10381710083</v>
      </c>
      <c r="F25" s="66">
        <f t="shared" si="1"/>
        <v>3299125.4993270123</v>
      </c>
      <c r="G25" s="20"/>
      <c r="I25" s="86"/>
      <c r="J25" s="86"/>
      <c r="K25" s="86"/>
      <c r="L25" s="86"/>
      <c r="M25" s="87"/>
    </row>
    <row r="26" spans="1:13" ht="12.75">
      <c r="A26" s="88">
        <v>2013</v>
      </c>
      <c r="B26" s="64">
        <v>1441539.8024168243</v>
      </c>
      <c r="C26" s="44">
        <v>737391.5122042883</v>
      </c>
      <c r="D26" s="44">
        <v>1241000.8431573522</v>
      </c>
      <c r="E26" s="44">
        <v>116294.17167812247</v>
      </c>
      <c r="F26" s="66">
        <f t="shared" si="1"/>
        <v>3536226.329456587</v>
      </c>
      <c r="G26" s="20"/>
      <c r="I26" s="86"/>
      <c r="J26" s="86"/>
      <c r="K26" s="86"/>
      <c r="L26" s="86"/>
      <c r="M26" s="87"/>
    </row>
    <row r="27" spans="1:13" ht="13.5" thickBot="1">
      <c r="A27" s="88"/>
      <c r="B27" s="64"/>
      <c r="C27" s="44"/>
      <c r="D27" s="44"/>
      <c r="E27" s="44"/>
      <c r="F27" s="66"/>
      <c r="G27" s="20"/>
      <c r="I27" s="86"/>
      <c r="J27" s="86"/>
      <c r="K27" s="86"/>
      <c r="L27" s="86"/>
      <c r="M27" s="87"/>
    </row>
    <row r="28" spans="1:7" ht="12.75">
      <c r="A28" s="153" t="s">
        <v>254</v>
      </c>
      <c r="B28" s="137">
        <f>(B26/B25)-1</f>
        <v>0.044854431697018304</v>
      </c>
      <c r="C28" s="138">
        <f>(C26/C25)-1</f>
        <v>0.1075853788148784</v>
      </c>
      <c r="D28" s="138">
        <f>(D26/D25)-1</f>
        <v>0.08488071037732214</v>
      </c>
      <c r="E28" s="138">
        <f>(E26/E25)-1</f>
        <v>0.059154106319855515</v>
      </c>
      <c r="F28" s="139">
        <f>(F26/F25)-1</f>
        <v>0.07186778137962335</v>
      </c>
      <c r="G28" s="20"/>
    </row>
    <row r="29" spans="1:7" ht="12.75">
      <c r="A29" s="69" t="s">
        <v>255</v>
      </c>
      <c r="B29" s="140">
        <f>+(B26/B21)^(1/5)-1</f>
        <v>0.06999293438785892</v>
      </c>
      <c r="C29" s="141">
        <f>+(C26/C21)^(1/5)-1</f>
        <v>0.13037956469895806</v>
      </c>
      <c r="D29" s="141">
        <f>+(D26/D21)^(1/5)-1</f>
        <v>0.1160612355655608</v>
      </c>
      <c r="E29" s="141">
        <f>+(E26/E21)^(1/5)-1</f>
        <v>0.10057223715650832</v>
      </c>
      <c r="F29" s="142">
        <f>+(F26/F21)^(1/5)-1</f>
        <v>0.09796915813356555</v>
      </c>
      <c r="G29" s="20"/>
    </row>
    <row r="30" spans="1:7" ht="12.75">
      <c r="A30" s="47" t="s">
        <v>256</v>
      </c>
      <c r="B30" s="140">
        <f>+B26/B13-1</f>
        <v>2.0609364211668457</v>
      </c>
      <c r="C30" s="160">
        <f>+C26/C13-1</f>
        <v>2.7398214313741818</v>
      </c>
      <c r="D30" s="160">
        <f>+D26/D13-1</f>
        <v>2.1283928290634893</v>
      </c>
      <c r="E30" s="160">
        <f>+E26/E13-1</f>
        <v>1.4097585023067736</v>
      </c>
      <c r="F30" s="540">
        <f>+F26/F13-1</f>
        <v>2.1770040672253126</v>
      </c>
      <c r="G30" s="161"/>
    </row>
    <row r="31" spans="1:7" ht="13.5" thickBot="1">
      <c r="A31" s="49" t="s">
        <v>257</v>
      </c>
      <c r="B31" s="541">
        <f>+(B26/B13)^(1/13)-1</f>
        <v>0.08986676302272345</v>
      </c>
      <c r="C31" s="143">
        <f>+(C26/C13)^(1/13)-1</f>
        <v>0.10679057253625568</v>
      </c>
      <c r="D31" s="143">
        <f>+(D26/D13)^(1/13)-1</f>
        <v>0.09169579390498228</v>
      </c>
      <c r="E31" s="143">
        <f>+(E26/E13)^(1/13)-1</f>
        <v>0.06999704563615317</v>
      </c>
      <c r="F31" s="144">
        <f>+(F26/F13)^(1/13)-1</f>
        <v>0.09299141712245684</v>
      </c>
      <c r="G31" s="20"/>
    </row>
    <row r="32" spans="1:7" ht="12.75">
      <c r="A32" s="74"/>
      <c r="B32" s="6"/>
      <c r="C32" s="6"/>
      <c r="D32" s="6"/>
      <c r="E32" s="6"/>
      <c r="F32" s="6"/>
      <c r="G32" s="20"/>
    </row>
    <row r="33" spans="2:7" ht="15.75">
      <c r="B33" s="19"/>
      <c r="C33" s="19"/>
      <c r="D33" s="19"/>
      <c r="E33" s="16"/>
      <c r="F33" s="17"/>
      <c r="G33" s="20"/>
    </row>
    <row r="34" ht="12.75">
      <c r="G34" s="20"/>
    </row>
    <row r="35" ht="12.75">
      <c r="G35" s="21"/>
    </row>
  </sheetData>
  <sheetProtection/>
  <mergeCells count="6">
    <mergeCell ref="B5:F5"/>
    <mergeCell ref="B6:B7"/>
    <mergeCell ref="C6:C7"/>
    <mergeCell ref="D6:D7"/>
    <mergeCell ref="E6:E7"/>
    <mergeCell ref="F6:F7"/>
  </mergeCells>
  <printOptions/>
  <pageMargins left="0.9" right="0.21" top="0.94" bottom="1" header="0" footer="0"/>
  <pageSetup fitToHeight="1" fitToWidth="1" horizontalDpi="600" verticalDpi="600" orientation="portrait" paperSize="9" scale="7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8"/>
  <sheetViews>
    <sheetView view="pageBreakPreview" zoomScale="115" zoomScaleSheetLayoutView="115" zoomScalePageLayoutView="0" workbookViewId="0" topLeftCell="A1">
      <selection activeCell="A3" sqref="A3"/>
    </sheetView>
  </sheetViews>
  <sheetFormatPr defaultColWidth="11.421875" defaultRowHeight="12.75"/>
  <cols>
    <col min="1" max="1" width="18.57421875" style="0" customWidth="1"/>
    <col min="2" max="5" width="12.7109375" style="0" customWidth="1"/>
    <col min="6" max="6" width="15.28125" style="0" customWidth="1"/>
    <col min="7" max="9" width="10.7109375" style="0" customWidth="1"/>
    <col min="10" max="10" width="15.57421875" style="0" customWidth="1"/>
    <col min="11" max="11" width="10.7109375" style="0" customWidth="1"/>
    <col min="12" max="12" width="11.7109375" style="0" customWidth="1"/>
    <col min="13" max="13" width="10.7109375" style="0" customWidth="1"/>
    <col min="14" max="14" width="11.7109375" style="0" customWidth="1"/>
    <col min="15" max="17" width="10.7109375" style="0" customWidth="1"/>
    <col min="21" max="21" width="12.57421875" style="0" bestFit="1" customWidth="1"/>
  </cols>
  <sheetData>
    <row r="1" spans="1:14" ht="15.75">
      <c r="A1" s="16"/>
      <c r="B1" s="16"/>
      <c r="J1" t="s">
        <v>69</v>
      </c>
      <c r="K1" s="542" t="s">
        <v>70</v>
      </c>
      <c r="L1" s="542" t="s">
        <v>71</v>
      </c>
      <c r="M1" s="542" t="s">
        <v>72</v>
      </c>
      <c r="N1" s="542" t="s">
        <v>73</v>
      </c>
    </row>
    <row r="2" spans="1:23" ht="15.75">
      <c r="A2" s="543" t="s">
        <v>305</v>
      </c>
      <c r="B2" s="89"/>
      <c r="C2" s="2"/>
      <c r="D2" s="2"/>
      <c r="E2" s="2"/>
      <c r="F2" s="2"/>
      <c r="I2" s="14"/>
      <c r="J2" s="14"/>
      <c r="K2" s="5"/>
      <c r="L2" s="5"/>
      <c r="M2" s="5"/>
      <c r="N2" s="5"/>
      <c r="O2" s="5"/>
      <c r="P2" s="14"/>
      <c r="Q2" s="14"/>
      <c r="R2" s="14"/>
      <c r="S2" s="14"/>
      <c r="T2" s="14"/>
      <c r="U2" s="14"/>
      <c r="V2" s="14"/>
      <c r="W2" s="14"/>
    </row>
    <row r="3" spans="1:23" ht="15">
      <c r="A3" s="18"/>
      <c r="B3" s="18"/>
      <c r="C3" s="18"/>
      <c r="D3" s="18"/>
      <c r="E3" s="18"/>
      <c r="F3" s="18"/>
      <c r="I3" s="5"/>
      <c r="J3" s="1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73"/>
      <c r="W3" s="19"/>
    </row>
    <row r="4" spans="9:23" ht="13.5" thickBot="1">
      <c r="I4" s="5"/>
      <c r="J4" s="1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73"/>
      <c r="W4" s="19"/>
    </row>
    <row r="5" spans="1:23" ht="16.5" customHeight="1" thickBot="1">
      <c r="A5" s="900"/>
      <c r="B5" s="1103" t="s">
        <v>74</v>
      </c>
      <c r="C5" s="1104"/>
      <c r="D5" s="1104"/>
      <c r="E5" s="1104"/>
      <c r="F5" s="1105"/>
      <c r="I5" s="5"/>
      <c r="J5" s="5" t="s">
        <v>75</v>
      </c>
      <c r="P5" s="5"/>
      <c r="Q5" s="5"/>
      <c r="R5" s="5"/>
      <c r="S5" s="5"/>
      <c r="T5" s="5"/>
      <c r="U5" s="5"/>
      <c r="V5" s="73"/>
      <c r="W5" s="19"/>
    </row>
    <row r="6" spans="1:23" ht="12.75" customHeight="1">
      <c r="A6" s="901" t="s">
        <v>18</v>
      </c>
      <c r="B6" s="1106" t="s">
        <v>40</v>
      </c>
      <c r="C6" s="1108" t="s">
        <v>41</v>
      </c>
      <c r="D6" s="1108" t="s">
        <v>42</v>
      </c>
      <c r="E6" s="1110" t="s">
        <v>43</v>
      </c>
      <c r="F6" s="1112" t="s">
        <v>77</v>
      </c>
      <c r="G6" s="20"/>
      <c r="I6" s="5"/>
      <c r="J6" s="1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73"/>
      <c r="W6" s="19"/>
    </row>
    <row r="7" spans="1:23" ht="15.75" customHeight="1" thickBot="1">
      <c r="A7" s="902"/>
      <c r="B7" s="1107"/>
      <c r="C7" s="1109"/>
      <c r="D7" s="1109"/>
      <c r="E7" s="1111"/>
      <c r="F7" s="1113"/>
      <c r="G7" s="20"/>
      <c r="I7" s="5"/>
      <c r="J7" s="1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73"/>
      <c r="W7" s="19"/>
    </row>
    <row r="8" spans="1:15" ht="12.75">
      <c r="A8" s="544"/>
      <c r="B8" s="545"/>
      <c r="C8" s="546"/>
      <c r="D8" s="546"/>
      <c r="E8" s="546"/>
      <c r="F8" s="547"/>
      <c r="G8" s="20"/>
      <c r="J8" s="14"/>
      <c r="K8" s="5"/>
      <c r="L8" s="5"/>
      <c r="M8" s="5"/>
      <c r="N8" s="5"/>
      <c r="O8" s="5"/>
    </row>
    <row r="9" spans="1:7" ht="12.75">
      <c r="A9" s="548">
        <v>1995</v>
      </c>
      <c r="B9" s="549">
        <v>5.7782302810253094</v>
      </c>
      <c r="C9" s="550">
        <v>8.930236767278458</v>
      </c>
      <c r="D9" s="550">
        <v>11.283446398970833</v>
      </c>
      <c r="E9" s="550">
        <v>8.480380509442004</v>
      </c>
      <c r="F9" s="551">
        <v>8.393283624979105</v>
      </c>
      <c r="G9" s="201"/>
    </row>
    <row r="10" spans="1:7" ht="12.75">
      <c r="A10" s="544">
        <v>1996</v>
      </c>
      <c r="B10" s="545">
        <v>6.003018190974908</v>
      </c>
      <c r="C10" s="546">
        <v>9.069490468416461</v>
      </c>
      <c r="D10" s="546">
        <v>11.700802658519068</v>
      </c>
      <c r="E10" s="546">
        <v>10.015867859658382</v>
      </c>
      <c r="F10" s="547">
        <v>8.647646690205814</v>
      </c>
      <c r="G10" s="20"/>
    </row>
    <row r="11" spans="1:7" ht="12.75">
      <c r="A11" s="548">
        <v>1997</v>
      </c>
      <c r="B11" s="549">
        <v>5.86841218488873</v>
      </c>
      <c r="C11" s="550">
        <v>8.920555677874598</v>
      </c>
      <c r="D11" s="550">
        <v>11.582177535507025</v>
      </c>
      <c r="E11" s="550">
        <v>9.605258607546249</v>
      </c>
      <c r="F11" s="551">
        <v>8.188247240008057</v>
      </c>
      <c r="G11" s="20"/>
    </row>
    <row r="12" spans="1:7" ht="12.75">
      <c r="A12" s="544">
        <v>1998</v>
      </c>
      <c r="B12" s="545">
        <v>5.42034791739235</v>
      </c>
      <c r="C12" s="546">
        <v>7.431544947493249</v>
      </c>
      <c r="D12" s="546">
        <v>9.96843399442005</v>
      </c>
      <c r="E12" s="546">
        <v>8.380024919859448</v>
      </c>
      <c r="F12" s="547">
        <v>7.0538222851775645</v>
      </c>
      <c r="G12" s="20"/>
    </row>
    <row r="13" spans="1:7" ht="12.75">
      <c r="A13" s="548">
        <v>1999</v>
      </c>
      <c r="B13" s="549">
        <v>5.340603488459393</v>
      </c>
      <c r="C13" s="550">
        <v>7.02568748356065</v>
      </c>
      <c r="D13" s="550">
        <v>9.494434904668308</v>
      </c>
      <c r="E13" s="550">
        <v>8.132461037046669</v>
      </c>
      <c r="F13" s="551">
        <v>6.798013749180917</v>
      </c>
      <c r="G13" s="20"/>
    </row>
    <row r="14" spans="1:7" ht="12.75">
      <c r="A14" s="544">
        <v>2000</v>
      </c>
      <c r="B14" s="545">
        <v>5.623240393552686</v>
      </c>
      <c r="C14" s="546">
        <v>7.32074284220981</v>
      </c>
      <c r="D14" s="546">
        <v>10.077877207303533</v>
      </c>
      <c r="E14" s="546">
        <v>8.920590888132166</v>
      </c>
      <c r="F14" s="547">
        <v>7.160031104190919</v>
      </c>
      <c r="G14" s="20"/>
    </row>
    <row r="15" spans="1:11" ht="12.75">
      <c r="A15" s="548">
        <v>2001</v>
      </c>
      <c r="B15" s="549">
        <v>5.170681855739894</v>
      </c>
      <c r="C15" s="550">
        <v>7.33328016400444</v>
      </c>
      <c r="D15" s="550">
        <v>10.040241931531753</v>
      </c>
      <c r="E15" s="550">
        <v>9.391850960397145</v>
      </c>
      <c r="F15" s="551">
        <v>6.851736911514183</v>
      </c>
      <c r="G15" s="20"/>
      <c r="K15" s="552"/>
    </row>
    <row r="16" spans="1:11" ht="12.75">
      <c r="A16" s="544">
        <v>2002</v>
      </c>
      <c r="B16" s="545">
        <v>5.101571642227621</v>
      </c>
      <c r="C16" s="546">
        <v>7.428110464437447</v>
      </c>
      <c r="D16" s="546">
        <v>8.97669069848606</v>
      </c>
      <c r="E16" s="546">
        <v>7.924064483903257</v>
      </c>
      <c r="F16" s="547">
        <v>6.572256424100436</v>
      </c>
      <c r="G16" s="20"/>
      <c r="K16" s="552"/>
    </row>
    <row r="17" spans="1:7" ht="12.75">
      <c r="A17" s="548">
        <v>2003</v>
      </c>
      <c r="B17" s="549">
        <v>5.045811028696983</v>
      </c>
      <c r="C17" s="550">
        <v>7.1353528490967735</v>
      </c>
      <c r="D17" s="550">
        <v>9.671012358653732</v>
      </c>
      <c r="E17" s="550">
        <v>7.7695003248875425</v>
      </c>
      <c r="F17" s="551">
        <v>6.624152034461948</v>
      </c>
      <c r="G17" s="20"/>
    </row>
    <row r="18" spans="1:7" ht="12.75">
      <c r="A18" s="544">
        <v>2004</v>
      </c>
      <c r="B18" s="545">
        <v>5.380562684656785</v>
      </c>
      <c r="C18" s="546">
        <v>7.7661883737661785</v>
      </c>
      <c r="D18" s="546">
        <v>9.957854254756237</v>
      </c>
      <c r="E18" s="546">
        <v>9.673280906557887</v>
      </c>
      <c r="F18" s="547">
        <v>7.0379541088956685</v>
      </c>
      <c r="G18" s="20"/>
    </row>
    <row r="19" spans="1:7" ht="12.75">
      <c r="A19" s="553">
        <v>2005</v>
      </c>
      <c r="B19" s="549">
        <v>5.771045156535736</v>
      </c>
      <c r="C19" s="550">
        <v>8.469438388136206</v>
      </c>
      <c r="D19" s="550">
        <v>10.83636761874177</v>
      </c>
      <c r="E19" s="550">
        <v>10.2855760316503</v>
      </c>
      <c r="F19" s="551">
        <v>7.628520665665924</v>
      </c>
      <c r="G19" s="20"/>
    </row>
    <row r="20" spans="1:7" ht="12.75">
      <c r="A20" s="554">
        <v>2006</v>
      </c>
      <c r="B20" s="545">
        <v>5.732124833700338</v>
      </c>
      <c r="C20" s="546">
        <v>8.19559620434823</v>
      </c>
      <c r="D20" s="546">
        <v>10.756475285056688</v>
      </c>
      <c r="E20" s="546">
        <v>10.825611995897283</v>
      </c>
      <c r="F20" s="547">
        <v>7.551208104601234</v>
      </c>
      <c r="G20" s="20"/>
    </row>
    <row r="21" spans="1:15" ht="12.75">
      <c r="A21" s="553">
        <v>2007</v>
      </c>
      <c r="B21" s="549">
        <v>5.597572426714631</v>
      </c>
      <c r="C21" s="550">
        <v>8.25688295854472</v>
      </c>
      <c r="D21" s="550">
        <v>10.68990130553876</v>
      </c>
      <c r="E21" s="550">
        <v>10.292187443523428</v>
      </c>
      <c r="F21" s="551">
        <v>7.404944110282578</v>
      </c>
      <c r="G21" s="20"/>
      <c r="L21" s="542"/>
      <c r="M21" s="542"/>
      <c r="N21" s="542"/>
      <c r="O21" s="542"/>
    </row>
    <row r="22" spans="1:11" ht="12.75">
      <c r="A22" s="554">
        <v>2008</v>
      </c>
      <c r="B22" s="545">
        <v>6.658126506723528</v>
      </c>
      <c r="C22" s="546">
        <v>8.8890837350718</v>
      </c>
      <c r="D22" s="546">
        <v>11.273478337353472</v>
      </c>
      <c r="E22" s="546">
        <v>10.67078841366945</v>
      </c>
      <c r="F22" s="547">
        <v>8.218609624523832</v>
      </c>
      <c r="G22" s="20"/>
      <c r="K22" s="534"/>
    </row>
    <row r="23" spans="1:11" ht="12.75">
      <c r="A23" s="553">
        <v>2009</v>
      </c>
      <c r="B23" s="549">
        <v>6.090844286502383</v>
      </c>
      <c r="C23" s="550">
        <v>9.440147856287034</v>
      </c>
      <c r="D23" s="550">
        <v>11.926617410595755</v>
      </c>
      <c r="E23" s="550">
        <v>11.525785044073674</v>
      </c>
      <c r="F23" s="551">
        <v>8.255095348074532</v>
      </c>
      <c r="G23" s="20"/>
      <c r="J23" s="555"/>
      <c r="K23" s="556"/>
    </row>
    <row r="24" spans="1:14" ht="12.75">
      <c r="A24" s="554">
        <v>2010</v>
      </c>
      <c r="B24" s="545">
        <v>5.911842555797673</v>
      </c>
      <c r="C24" s="546">
        <v>10.110599528616511</v>
      </c>
      <c r="D24" s="546">
        <v>12.206216169236948</v>
      </c>
      <c r="E24" s="546">
        <v>12.072008153137142</v>
      </c>
      <c r="F24" s="547">
        <v>8.318115440910699</v>
      </c>
      <c r="G24" s="201"/>
      <c r="K24" s="534"/>
      <c r="L24" s="555"/>
      <c r="M24" s="555"/>
      <c r="N24" s="555"/>
    </row>
    <row r="25" spans="1:11" ht="12.75">
      <c r="A25" s="553">
        <v>2011</v>
      </c>
      <c r="B25" s="549">
        <v>6.706936836</v>
      </c>
      <c r="C25" s="550">
        <v>10.2108472</v>
      </c>
      <c r="D25" s="550">
        <v>13.043042</v>
      </c>
      <c r="E25" s="550">
        <v>12.7852389</v>
      </c>
      <c r="F25" s="551">
        <v>8.9891895</v>
      </c>
      <c r="G25" s="201"/>
      <c r="I25" s="557"/>
      <c r="J25" s="557"/>
      <c r="K25" s="556"/>
    </row>
    <row r="26" spans="1:11" ht="12.75">
      <c r="A26" s="554">
        <v>2012</v>
      </c>
      <c r="B26" s="545">
        <v>7.381605964</v>
      </c>
      <c r="C26" s="546">
        <v>10.9830122</v>
      </c>
      <c r="D26" s="546">
        <v>14.1041095</v>
      </c>
      <c r="E26" s="546">
        <v>13.9780652</v>
      </c>
      <c r="F26" s="547">
        <v>9.80476364</v>
      </c>
      <c r="G26" s="201"/>
      <c r="I26" s="557"/>
      <c r="J26" s="557"/>
      <c r="K26" s="556"/>
    </row>
    <row r="27" spans="1:11" ht="12.75">
      <c r="A27" s="553">
        <v>2013</v>
      </c>
      <c r="B27" s="549">
        <v>7.502307097</v>
      </c>
      <c r="C27" s="550">
        <v>10.9079971</v>
      </c>
      <c r="D27" s="550">
        <v>14.1701056</v>
      </c>
      <c r="E27" s="550">
        <v>13.2596967</v>
      </c>
      <c r="F27" s="551">
        <v>9.93052819</v>
      </c>
      <c r="G27" s="201"/>
      <c r="I27" s="557"/>
      <c r="J27" s="557"/>
      <c r="K27" s="556"/>
    </row>
    <row r="28" spans="1:7" ht="13.5" thickBot="1">
      <c r="A28" s="554"/>
      <c r="B28" s="545"/>
      <c r="C28" s="546"/>
      <c r="D28" s="546"/>
      <c r="E28" s="546"/>
      <c r="F28" s="547"/>
      <c r="G28" s="201"/>
    </row>
    <row r="29" spans="1:16" ht="12.75">
      <c r="A29" s="558" t="s">
        <v>254</v>
      </c>
      <c r="B29" s="559">
        <f>(B27/B26)-1</f>
        <v>0.01635160879470643</v>
      </c>
      <c r="C29" s="560">
        <f>(C27/C26)-1</f>
        <v>-0.006830102583333164</v>
      </c>
      <c r="D29" s="560">
        <f>(D27/D26)-1</f>
        <v>0.004679210693876001</v>
      </c>
      <c r="E29" s="560">
        <f>(E27/E26)-1</f>
        <v>-0.05139255610282889</v>
      </c>
      <c r="F29" s="561">
        <f>(F27/F26)-1</f>
        <v>0.012826882382653837</v>
      </c>
      <c r="G29" s="201"/>
      <c r="L29" s="73"/>
      <c r="M29" s="73"/>
      <c r="N29" s="73"/>
      <c r="O29" s="73"/>
      <c r="P29" s="73"/>
    </row>
    <row r="30" spans="1:16" ht="12.75">
      <c r="A30" s="562" t="s">
        <v>255</v>
      </c>
      <c r="B30" s="563">
        <f>((B27/B22)^(1/5))-1</f>
        <v>0.024161766561360487</v>
      </c>
      <c r="C30" s="564">
        <f>((C27/C22)^(1/5))-1</f>
        <v>0.04178380850890018</v>
      </c>
      <c r="D30" s="564">
        <f>((D27/D22)^(1/5))-1</f>
        <v>0.04679835241802688</v>
      </c>
      <c r="E30" s="564">
        <f>((E27/E22)^(1/5))-1</f>
        <v>0.04440133029578419</v>
      </c>
      <c r="F30" s="565">
        <f>((F27/F22)^(1/5))-1</f>
        <v>0.03856767023851315</v>
      </c>
      <c r="G30" s="20"/>
      <c r="L30" s="73"/>
      <c r="M30" s="73"/>
      <c r="N30" s="73"/>
      <c r="O30" s="73"/>
      <c r="P30" s="73"/>
    </row>
    <row r="31" spans="1:16" ht="12.75">
      <c r="A31" s="566" t="s">
        <v>256</v>
      </c>
      <c r="B31" s="567">
        <f>(B27/B14)-1</f>
        <v>0.3341608346678109</v>
      </c>
      <c r="C31" s="568">
        <f>(C27/C14)-1</f>
        <v>0.49001233004755496</v>
      </c>
      <c r="D31" s="568">
        <f>(D27/D14)-1</f>
        <v>0.40606055308262623</v>
      </c>
      <c r="E31" s="568">
        <f>(E27/E14)-1</f>
        <v>0.4864146183007363</v>
      </c>
      <c r="F31" s="569">
        <f>(F27/F14)-1</f>
        <v>0.3869392528459059</v>
      </c>
      <c r="G31" s="20"/>
      <c r="J31" s="555"/>
      <c r="K31" s="555"/>
      <c r="L31" s="73"/>
      <c r="M31" s="73"/>
      <c r="N31" s="73"/>
      <c r="O31" s="73"/>
      <c r="P31" s="73"/>
    </row>
    <row r="32" spans="1:14" ht="13.5" thickBot="1">
      <c r="A32" s="570" t="s">
        <v>257</v>
      </c>
      <c r="B32" s="571">
        <f>((B27/B14)^(1/13))-1</f>
        <v>0.02242485607374567</v>
      </c>
      <c r="C32" s="572">
        <f>((C27/C14)^(1/13))-1</f>
        <v>0.03115107078160717</v>
      </c>
      <c r="D32" s="572">
        <f>((D27/D14)^(1/13))-1</f>
        <v>0.02656138755318449</v>
      </c>
      <c r="E32" s="572">
        <f>((E27/E14)^(1/13))-1</f>
        <v>0.030959336439216223</v>
      </c>
      <c r="F32" s="573">
        <f>((F27/F14)^(1/13))-1</f>
        <v>0.025480709892521825</v>
      </c>
      <c r="G32" s="20"/>
      <c r="J32" s="555"/>
      <c r="K32" s="555"/>
      <c r="L32" s="555"/>
      <c r="M32" s="555"/>
      <c r="N32" s="555"/>
    </row>
    <row r="33" spans="1:14" ht="12.75">
      <c r="A33" s="574" t="s">
        <v>76</v>
      </c>
      <c r="B33" s="6"/>
      <c r="C33" s="6"/>
      <c r="D33" s="6"/>
      <c r="E33" s="6"/>
      <c r="F33" s="6"/>
      <c r="G33" s="20"/>
      <c r="I33" s="557"/>
      <c r="J33" s="555"/>
      <c r="K33" s="555"/>
      <c r="L33" s="555"/>
      <c r="M33" s="555"/>
      <c r="N33" s="555"/>
    </row>
    <row r="34" spans="2:7" ht="15.75">
      <c r="B34" s="19"/>
      <c r="C34" s="19"/>
      <c r="D34" s="19"/>
      <c r="E34" s="16"/>
      <c r="F34" s="17"/>
      <c r="G34" s="20"/>
    </row>
    <row r="35" spans="2:7" ht="15.75">
      <c r="B35" s="19"/>
      <c r="C35" s="19"/>
      <c r="D35" s="19"/>
      <c r="E35" s="16"/>
      <c r="F35" s="17"/>
      <c r="G35" s="20"/>
    </row>
    <row r="36" spans="1:7" ht="15.75">
      <c r="A36" s="74"/>
      <c r="B36" s="19"/>
      <c r="C36" s="19"/>
      <c r="D36" s="19"/>
      <c r="E36" s="16"/>
      <c r="F36" s="17"/>
      <c r="G36" s="20"/>
    </row>
    <row r="37" ht="12.75">
      <c r="G37" s="20"/>
    </row>
    <row r="38" ht="12.75">
      <c r="G38" s="21"/>
    </row>
  </sheetData>
  <sheetProtection/>
  <mergeCells count="6">
    <mergeCell ref="B5:F5"/>
    <mergeCell ref="B6:B7"/>
    <mergeCell ref="C6:C7"/>
    <mergeCell ref="D6:D7"/>
    <mergeCell ref="E6:E7"/>
    <mergeCell ref="F6:F7"/>
  </mergeCells>
  <printOptions/>
  <pageMargins left="0.9" right="0.05" top="0.94" bottom="1" header="0" footer="0"/>
  <pageSetup horizontalDpi="600" verticalDpi="6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33"/>
  <sheetViews>
    <sheetView view="pageBreakPreview" zoomScale="90" zoomScaleSheetLayoutView="90" zoomScalePageLayoutView="0" workbookViewId="0" topLeftCell="A1">
      <selection activeCell="N64" sqref="N64"/>
    </sheetView>
  </sheetViews>
  <sheetFormatPr defaultColWidth="11.421875" defaultRowHeight="12.75"/>
  <cols>
    <col min="1" max="1" width="7.28125" style="0" customWidth="1"/>
    <col min="2" max="2" width="22.421875" style="0" customWidth="1"/>
    <col min="3" max="7" width="16.140625" style="0" customWidth="1"/>
    <col min="8" max="8" width="16.8515625" style="0" customWidth="1"/>
    <col min="9" max="9" width="13.8515625" style="0" customWidth="1"/>
    <col min="10" max="10" width="15.8515625" style="0" customWidth="1"/>
    <col min="11" max="12" width="13.421875" style="0" customWidth="1"/>
    <col min="13" max="13" width="12.421875" style="0" customWidth="1"/>
    <col min="14" max="14" width="49.28125" style="6" customWidth="1"/>
    <col min="15" max="15" width="2.8515625" style="0" customWidth="1"/>
  </cols>
  <sheetData>
    <row r="3" spans="1:7" ht="20.25">
      <c r="A3" s="90" t="s">
        <v>78</v>
      </c>
      <c r="C3" s="7"/>
      <c r="D3" s="7"/>
      <c r="E3" s="7"/>
      <c r="F3" s="7"/>
      <c r="G3" s="7"/>
    </row>
    <row r="4" spans="2:7" ht="18">
      <c r="B4" s="91"/>
      <c r="C4" s="7"/>
      <c r="D4" s="7"/>
      <c r="E4" s="7"/>
      <c r="F4" s="7"/>
      <c r="G4" s="7"/>
    </row>
    <row r="5" spans="2:18" ht="13.5" thickBot="1">
      <c r="B5" s="92"/>
      <c r="C5" s="92"/>
      <c r="D5" s="92"/>
      <c r="E5" s="92"/>
      <c r="F5" s="92"/>
      <c r="G5" s="92"/>
      <c r="K5" s="6"/>
      <c r="L5" s="23"/>
      <c r="M5" s="23"/>
      <c r="N5" s="23"/>
      <c r="O5" s="23"/>
      <c r="P5" s="23"/>
      <c r="Q5" s="7"/>
      <c r="R5" s="7"/>
    </row>
    <row r="6" spans="2:18" ht="12.75">
      <c r="B6" s="903"/>
      <c r="C6" s="904" t="s">
        <v>52</v>
      </c>
      <c r="D6" s="1086" t="s">
        <v>53</v>
      </c>
      <c r="E6" s="1114"/>
      <c r="F6" s="1115"/>
      <c r="G6" s="905" t="s">
        <v>13</v>
      </c>
      <c r="K6" s="6"/>
      <c r="L6" s="23"/>
      <c r="M6" s="23"/>
      <c r="N6" s="23"/>
      <c r="O6" s="23"/>
      <c r="P6" s="23"/>
      <c r="Q6" s="7"/>
      <c r="R6" s="7"/>
    </row>
    <row r="7" spans="2:18" ht="13.5" thickBot="1">
      <c r="B7" s="906" t="s">
        <v>18</v>
      </c>
      <c r="C7" s="906" t="s">
        <v>0</v>
      </c>
      <c r="D7" s="906" t="s">
        <v>0</v>
      </c>
      <c r="E7" s="1008" t="s">
        <v>10</v>
      </c>
      <c r="F7" s="1009" t="s">
        <v>11</v>
      </c>
      <c r="G7" s="907" t="s">
        <v>54</v>
      </c>
      <c r="K7" s="6"/>
      <c r="L7" s="23"/>
      <c r="M7" s="23"/>
      <c r="N7" s="23"/>
      <c r="O7" s="23"/>
      <c r="P7" s="23"/>
      <c r="Q7" s="7"/>
      <c r="R7" s="7"/>
    </row>
    <row r="8" spans="2:18" ht="12.75">
      <c r="B8" s="55">
        <v>1995</v>
      </c>
      <c r="C8" s="57">
        <f aca="true" t="shared" si="0" ref="C8:C17">SUM(E8+F8+G8)</f>
        <v>13623.056128000004</v>
      </c>
      <c r="D8" s="57">
        <f>+E8+F8</f>
        <v>9849.256128000005</v>
      </c>
      <c r="E8" s="1012">
        <v>8673.708087000005</v>
      </c>
      <c r="F8" s="1010">
        <v>1175.548041</v>
      </c>
      <c r="G8" s="164">
        <v>3773.8</v>
      </c>
      <c r="I8" s="19"/>
      <c r="J8" s="93"/>
      <c r="K8" s="6"/>
      <c r="L8" s="23"/>
      <c r="M8" s="94"/>
      <c r="N8" s="94"/>
      <c r="O8" s="23"/>
      <c r="P8" s="23"/>
      <c r="Q8" s="7"/>
      <c r="R8" s="7"/>
    </row>
    <row r="9" spans="2:18" ht="12.75">
      <c r="B9" s="55">
        <v>1996</v>
      </c>
      <c r="C9" s="57">
        <f t="shared" si="0"/>
        <v>14303.13959799999</v>
      </c>
      <c r="D9" s="57">
        <f aca="true" t="shared" si="1" ref="D9:D17">+E9+F9</f>
        <v>10330.839597999991</v>
      </c>
      <c r="E9" s="164">
        <v>8770.610735999991</v>
      </c>
      <c r="F9" s="1010">
        <v>1560.228862</v>
      </c>
      <c r="G9" s="164">
        <v>3972.3</v>
      </c>
      <c r="I9" s="19"/>
      <c r="J9" s="93"/>
      <c r="K9" s="6"/>
      <c r="L9" s="23"/>
      <c r="M9" s="95"/>
      <c r="N9" s="95"/>
      <c r="O9" s="95"/>
      <c r="P9" s="23"/>
      <c r="Q9" s="7"/>
      <c r="R9" s="7"/>
    </row>
    <row r="10" spans="2:18" ht="12.75">
      <c r="B10" s="55">
        <v>1997</v>
      </c>
      <c r="C10" s="57">
        <f t="shared" si="0"/>
        <v>15056.08015999999</v>
      </c>
      <c r="D10" s="57">
        <f t="shared" si="1"/>
        <v>12451.23015999999</v>
      </c>
      <c r="E10" s="164">
        <v>9377.89467999999</v>
      </c>
      <c r="F10" s="1010">
        <v>3073.3354799999997</v>
      </c>
      <c r="G10" s="164">
        <v>2604.85</v>
      </c>
      <c r="I10" s="19"/>
      <c r="J10" s="93"/>
      <c r="K10" s="6"/>
      <c r="L10" s="23"/>
      <c r="M10" s="95"/>
      <c r="N10" s="95"/>
      <c r="O10" s="95"/>
      <c r="P10" s="23"/>
      <c r="Q10" s="7"/>
      <c r="R10" s="7"/>
    </row>
    <row r="11" spans="2:18" ht="12.75">
      <c r="B11" s="55">
        <v>1998</v>
      </c>
      <c r="C11" s="57">
        <f t="shared" si="0"/>
        <v>15775.176823</v>
      </c>
      <c r="D11" s="57">
        <f t="shared" si="1"/>
        <v>14008.576823</v>
      </c>
      <c r="E11" s="164">
        <v>9878.661572999998</v>
      </c>
      <c r="F11" s="1010">
        <v>4129.915250000001</v>
      </c>
      <c r="G11" s="164">
        <v>1766.6</v>
      </c>
      <c r="I11" s="19"/>
      <c r="J11" s="93"/>
      <c r="K11" s="6"/>
      <c r="L11" s="23"/>
      <c r="M11" s="95"/>
      <c r="N11" s="95"/>
      <c r="O11" s="95"/>
      <c r="P11" s="23"/>
      <c r="Q11" s="7"/>
      <c r="R11" s="7"/>
    </row>
    <row r="12" spans="2:18" ht="12.75">
      <c r="B12" s="55">
        <v>1999</v>
      </c>
      <c r="C12" s="57">
        <f t="shared" si="0"/>
        <v>16274.991559000011</v>
      </c>
      <c r="D12" s="57">
        <f t="shared" si="1"/>
        <v>14591.991559000011</v>
      </c>
      <c r="E12" s="164">
        <v>10198.991027000011</v>
      </c>
      <c r="F12" s="1010">
        <v>4393.000532</v>
      </c>
      <c r="G12" s="164">
        <v>1683</v>
      </c>
      <c r="I12" s="19"/>
      <c r="J12" s="93"/>
      <c r="K12" s="6"/>
      <c r="L12" s="23"/>
      <c r="M12" s="95"/>
      <c r="N12" s="95"/>
      <c r="O12" s="95"/>
      <c r="P12" s="23"/>
      <c r="Q12" s="7"/>
      <c r="R12" s="7"/>
    </row>
    <row r="13" spans="2:18" ht="12.75">
      <c r="B13" s="55">
        <v>2000</v>
      </c>
      <c r="C13" s="57">
        <f t="shared" si="0"/>
        <v>17140.395011000015</v>
      </c>
      <c r="D13" s="57">
        <f t="shared" si="1"/>
        <v>15545.595392000014</v>
      </c>
      <c r="E13" s="164">
        <v>10763.269271000014</v>
      </c>
      <c r="F13" s="1010">
        <v>4782.326121</v>
      </c>
      <c r="G13" s="164">
        <v>1594.799619</v>
      </c>
      <c r="I13" s="19"/>
      <c r="J13" s="93"/>
      <c r="K13" s="6"/>
      <c r="L13" s="23"/>
      <c r="M13" s="23"/>
      <c r="N13" s="23"/>
      <c r="O13" s="23"/>
      <c r="P13" s="23"/>
      <c r="Q13" s="7"/>
      <c r="R13" s="7"/>
    </row>
    <row r="14" spans="2:18" ht="12.75">
      <c r="B14" s="55">
        <v>2001</v>
      </c>
      <c r="C14" s="57">
        <f t="shared" si="0"/>
        <v>18199.95454499999</v>
      </c>
      <c r="D14" s="57">
        <f t="shared" si="1"/>
        <v>16628.75454499999</v>
      </c>
      <c r="E14" s="164">
        <v>10522.374724999987</v>
      </c>
      <c r="F14" s="1010">
        <v>6106.37982</v>
      </c>
      <c r="G14" s="164">
        <v>1571.2</v>
      </c>
      <c r="I14" s="19"/>
      <c r="J14" s="93"/>
      <c r="K14" s="6"/>
      <c r="L14" s="23"/>
      <c r="M14" s="23"/>
      <c r="N14" s="95"/>
      <c r="O14" s="23"/>
      <c r="P14" s="23"/>
      <c r="Q14" s="7"/>
      <c r="R14" s="7"/>
    </row>
    <row r="15" spans="2:18" ht="12.75">
      <c r="B15" s="55">
        <v>2002</v>
      </c>
      <c r="C15" s="57">
        <f t="shared" si="0"/>
        <v>19168.140412848003</v>
      </c>
      <c r="D15" s="57">
        <f t="shared" si="1"/>
        <v>17605.325913848</v>
      </c>
      <c r="E15" s="164">
        <v>11113.547163000001</v>
      </c>
      <c r="F15" s="1010">
        <v>6491.778750848</v>
      </c>
      <c r="G15" s="164">
        <v>1562.8144990000035</v>
      </c>
      <c r="I15" s="19"/>
      <c r="J15" s="93"/>
      <c r="K15" s="6"/>
      <c r="L15" s="23"/>
      <c r="M15" s="23"/>
      <c r="N15" s="95"/>
      <c r="O15" s="23"/>
      <c r="P15" s="23"/>
      <c r="Q15" s="7"/>
      <c r="R15" s="7"/>
    </row>
    <row r="16" spans="2:16" ht="12.75">
      <c r="B16" s="56">
        <v>2003</v>
      </c>
      <c r="C16" s="57">
        <f>SUM(E16+F16+G16)</f>
        <v>19937.226353999995</v>
      </c>
      <c r="D16" s="57">
        <f t="shared" si="1"/>
        <v>18375.335409999996</v>
      </c>
      <c r="E16" s="164">
        <v>11303.613572999999</v>
      </c>
      <c r="F16" s="1010">
        <v>7071.721836999998</v>
      </c>
      <c r="G16" s="164">
        <v>1561.8909439999998</v>
      </c>
      <c r="I16" s="19"/>
      <c r="J16" s="93"/>
      <c r="K16" s="6"/>
      <c r="L16" s="6"/>
      <c r="M16" s="6"/>
      <c r="N16" s="95"/>
      <c r="O16" s="6"/>
      <c r="P16" s="6"/>
    </row>
    <row r="17" spans="2:16" ht="12.75">
      <c r="B17" s="55">
        <v>2004</v>
      </c>
      <c r="C17" s="57">
        <f t="shared" si="0"/>
        <v>21287.72439</v>
      </c>
      <c r="D17" s="57">
        <f t="shared" si="1"/>
        <v>19640.65111</v>
      </c>
      <c r="E17" s="164">
        <v>12001.305316</v>
      </c>
      <c r="F17" s="1010">
        <v>7639.345794000001</v>
      </c>
      <c r="G17" s="164">
        <v>1647.0732800000003</v>
      </c>
      <c r="I17" s="19"/>
      <c r="J17" s="93"/>
      <c r="K17" s="6"/>
      <c r="L17" s="6"/>
      <c r="M17" s="6"/>
      <c r="N17" s="95"/>
      <c r="O17" s="6"/>
      <c r="P17" s="6"/>
    </row>
    <row r="18" spans="2:14" ht="12.75">
      <c r="B18" s="55">
        <v>2005</v>
      </c>
      <c r="C18" s="57">
        <f aca="true" t="shared" si="2" ref="C18:C26">SUM(E18+F18+G18)</f>
        <v>22400.244750429476</v>
      </c>
      <c r="D18" s="57">
        <f aca="true" t="shared" si="3" ref="D18:D26">+E18+F18</f>
        <v>20701.382880222223</v>
      </c>
      <c r="E18" s="164">
        <v>12914.287800222222</v>
      </c>
      <c r="F18" s="1010">
        <v>7787.095080000001</v>
      </c>
      <c r="G18" s="164">
        <v>1698.861870207253</v>
      </c>
      <c r="I18" s="19"/>
      <c r="J18" s="93"/>
      <c r="N18" s="95"/>
    </row>
    <row r="19" spans="2:14" ht="12.75">
      <c r="B19" s="55">
        <v>2006</v>
      </c>
      <c r="C19" s="57">
        <f t="shared" si="2"/>
        <v>24046.12609062141</v>
      </c>
      <c r="D19" s="57">
        <f t="shared" si="3"/>
        <v>22290.061152999995</v>
      </c>
      <c r="E19" s="164">
        <v>14043.638326999999</v>
      </c>
      <c r="F19" s="1010">
        <v>8246.422825999998</v>
      </c>
      <c r="G19" s="164">
        <v>1756.064937621414</v>
      </c>
      <c r="I19" s="19"/>
      <c r="J19" s="93"/>
      <c r="N19" s="95"/>
    </row>
    <row r="20" spans="2:14" ht="12.75">
      <c r="B20" s="55">
        <v>2007</v>
      </c>
      <c r="C20" s="57">
        <f t="shared" si="2"/>
        <v>26464.30460466</v>
      </c>
      <c r="D20" s="57">
        <f t="shared" si="3"/>
        <v>24721.748552999998</v>
      </c>
      <c r="E20" s="164">
        <v>15032.180854999999</v>
      </c>
      <c r="F20" s="1010">
        <v>9689.567697999999</v>
      </c>
      <c r="G20" s="164">
        <v>1742.55605166</v>
      </c>
      <c r="J20" s="93"/>
      <c r="N20" s="95"/>
    </row>
    <row r="21" spans="2:14" ht="12.75">
      <c r="B21" s="55">
        <v>2008</v>
      </c>
      <c r="C21" s="57">
        <f t="shared" si="2"/>
        <v>28833.06706300001</v>
      </c>
      <c r="D21" s="57">
        <f t="shared" si="3"/>
        <v>26964.41459600001</v>
      </c>
      <c r="E21" s="164">
        <v>16297.176545000008</v>
      </c>
      <c r="F21" s="1010">
        <v>10667.238051000004</v>
      </c>
      <c r="G21" s="164">
        <v>1868.652467</v>
      </c>
      <c r="H21" s="133"/>
      <c r="J21" s="93"/>
      <c r="N21" s="95"/>
    </row>
    <row r="22" spans="2:14" ht="12.75">
      <c r="B22" s="56">
        <v>2009</v>
      </c>
      <c r="C22" s="57">
        <f t="shared" si="2"/>
        <v>29109.838815000003</v>
      </c>
      <c r="D22" s="57">
        <f t="shared" si="3"/>
        <v>27087.005777000002</v>
      </c>
      <c r="E22" s="164">
        <v>17000.664145000002</v>
      </c>
      <c r="F22" s="1010">
        <v>10086.341632</v>
      </c>
      <c r="G22" s="164">
        <v>2022.8330379999998</v>
      </c>
      <c r="H22" s="133"/>
      <c r="J22" s="93"/>
      <c r="N22" s="95"/>
    </row>
    <row r="23" spans="2:14" ht="12.75">
      <c r="B23" s="56">
        <v>2010</v>
      </c>
      <c r="C23" s="57">
        <f t="shared" si="2"/>
        <v>31798.367258000002</v>
      </c>
      <c r="D23" s="57">
        <f t="shared" si="3"/>
        <v>29436.175124</v>
      </c>
      <c r="E23" s="164">
        <v>18195.325098</v>
      </c>
      <c r="F23" s="1010">
        <v>11240.850026</v>
      </c>
      <c r="G23" s="164">
        <v>2362.192134000001</v>
      </c>
      <c r="H23" s="133"/>
      <c r="J23" s="93"/>
      <c r="N23" s="95"/>
    </row>
    <row r="24" spans="2:14" ht="12.75">
      <c r="B24" s="56">
        <v>2011</v>
      </c>
      <c r="C24" s="57">
        <f t="shared" si="2"/>
        <v>34378.27975902477</v>
      </c>
      <c r="D24" s="57">
        <f t="shared" si="3"/>
        <v>31820.350805251102</v>
      </c>
      <c r="E24" s="164">
        <v>19753.040698251105</v>
      </c>
      <c r="F24" s="1010">
        <v>12067.310107</v>
      </c>
      <c r="G24" s="164">
        <v>2557.9289537736718</v>
      </c>
      <c r="H24" s="133"/>
      <c r="J24" s="93"/>
      <c r="N24" s="95"/>
    </row>
    <row r="25" spans="2:14" ht="12.75">
      <c r="B25" s="56">
        <v>2012</v>
      </c>
      <c r="C25" s="57">
        <f t="shared" si="2"/>
        <v>36323.13966340795</v>
      </c>
      <c r="D25" s="57">
        <f t="shared" si="3"/>
        <v>33648.185935</v>
      </c>
      <c r="E25" s="164">
        <v>20947.295381</v>
      </c>
      <c r="F25" s="1010">
        <v>12700.890554</v>
      </c>
      <c r="G25" s="164">
        <v>2674.953728407947</v>
      </c>
      <c r="H25" s="133"/>
      <c r="J25" s="93"/>
      <c r="N25" s="95"/>
    </row>
    <row r="26" spans="2:14" ht="12.75">
      <c r="B26" s="866">
        <v>2013</v>
      </c>
      <c r="C26" s="57">
        <f t="shared" si="2"/>
        <v>38275.164241306404</v>
      </c>
      <c r="D26" s="57">
        <f t="shared" si="3"/>
        <v>35609.6527</v>
      </c>
      <c r="E26" s="164">
        <v>21935.480477</v>
      </c>
      <c r="F26" s="867">
        <v>13674.172223</v>
      </c>
      <c r="G26" s="97">
        <v>2665.511541306406</v>
      </c>
      <c r="H26" s="133"/>
      <c r="J26" s="93"/>
      <c r="N26" s="95"/>
    </row>
    <row r="27" spans="2:14" ht="13.5" thickBot="1">
      <c r="B27" s="187"/>
      <c r="C27" s="57"/>
      <c r="D27" s="57"/>
      <c r="E27" s="164"/>
      <c r="F27" s="867"/>
      <c r="G27" s="97"/>
      <c r="H27" s="133"/>
      <c r="J27" s="93"/>
      <c r="N27" s="95"/>
    </row>
    <row r="28" spans="2:14" ht="12.75">
      <c r="B28" s="69" t="s">
        <v>258</v>
      </c>
      <c r="C28" s="96">
        <f>(C26/C25)-1</f>
        <v>0.05374052452478195</v>
      </c>
      <c r="D28" s="96">
        <f>(D26/D25)-1</f>
        <v>0.05829338820193963</v>
      </c>
      <c r="E28" s="1013">
        <f>(E26/E25)-1</f>
        <v>0.047174829877862035</v>
      </c>
      <c r="F28" s="1011">
        <f>(F26/F25)-1</f>
        <v>0.07663097834454424</v>
      </c>
      <c r="G28" s="96">
        <f>(G26/G25)-1</f>
        <v>-0.003529850629289455</v>
      </c>
      <c r="H28" s="133"/>
      <c r="N28" s="95"/>
    </row>
    <row r="29" spans="2:8" ht="12.75">
      <c r="B29" s="69" t="s">
        <v>259</v>
      </c>
      <c r="C29" s="124">
        <f>((C26/C21)^(1/5))-1</f>
        <v>0.05829134454146878</v>
      </c>
      <c r="D29" s="124">
        <f>((D26/D21)^(1/5))-1</f>
        <v>0.05719560350384234</v>
      </c>
      <c r="E29" s="124">
        <f>((E26/E21)^(1/5))-1</f>
        <v>0.061223738851538645</v>
      </c>
      <c r="F29" s="124">
        <f>((F26/F21)^(1/5))-1</f>
        <v>0.0509203739772357</v>
      </c>
      <c r="G29" s="124">
        <f>((G26/G21)^(1/5))-1</f>
        <v>0.0736195366393273</v>
      </c>
      <c r="H29" s="133"/>
    </row>
    <row r="30" spans="2:8" ht="12.75">
      <c r="B30" s="47" t="s">
        <v>260</v>
      </c>
      <c r="C30" s="122">
        <f>((C26/C13)^(1/13))-1</f>
        <v>0.06374656833134495</v>
      </c>
      <c r="D30" s="122">
        <f>((D26/D13)^(1/13))-1</f>
        <v>0.06583323863491652</v>
      </c>
      <c r="E30" s="122">
        <f>((E26/E13)^(1/13))-1</f>
        <v>0.05629407082350513</v>
      </c>
      <c r="F30" s="122">
        <f>((F26/F13)^(1/13))-1</f>
        <v>0.08416920148771978</v>
      </c>
      <c r="G30" s="122">
        <f>((G26/G13)^(1/13))-1</f>
        <v>0.04030233341957712</v>
      </c>
      <c r="H30" s="133"/>
    </row>
    <row r="31" spans="2:8" ht="13.5" thickBot="1">
      <c r="B31" s="111" t="s">
        <v>256</v>
      </c>
      <c r="C31" s="163">
        <f>+C26/C13-1</f>
        <v>1.2330386328169767</v>
      </c>
      <c r="D31" s="163">
        <f>+D26/D13-1</f>
        <v>1.2906586593862617</v>
      </c>
      <c r="E31" s="163">
        <f>+E26/E13-1</f>
        <v>1.0379942120468737</v>
      </c>
      <c r="F31" s="163">
        <f>+F26/F13-1</f>
        <v>1.8593140402856267</v>
      </c>
      <c r="G31" s="163">
        <f>+G26/G13-1</f>
        <v>0.6713770868454203</v>
      </c>
      <c r="H31" s="133"/>
    </row>
    <row r="33" ht="12.75">
      <c r="B33" s="74"/>
    </row>
  </sheetData>
  <sheetProtection/>
  <mergeCells count="1">
    <mergeCell ref="D6:F6"/>
  </mergeCells>
  <printOptions/>
  <pageMargins left="1.07" right="1.16" top="1.03" bottom="1" header="0" footer="0"/>
  <pageSetup fitToHeight="1" fitToWidth="1"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N56"/>
  <sheetViews>
    <sheetView view="pageBreakPreview" zoomScale="115" zoomScaleSheetLayoutView="115" zoomScalePageLayoutView="0" workbookViewId="0" topLeftCell="A1">
      <selection activeCell="AD15" sqref="AD15"/>
    </sheetView>
  </sheetViews>
  <sheetFormatPr defaultColWidth="11.421875" defaultRowHeight="12.75"/>
  <cols>
    <col min="1" max="1" width="10.140625" style="0" customWidth="1"/>
    <col min="2" max="2" width="7.421875" style="0" customWidth="1"/>
    <col min="3" max="3" width="11.57421875" style="0" customWidth="1"/>
    <col min="4" max="4" width="2.28125" style="0" customWidth="1"/>
    <col min="5" max="5" width="7.7109375" style="0" customWidth="1"/>
    <col min="6" max="6" width="1.28515625" style="0" customWidth="1"/>
    <col min="7" max="7" width="7.57421875" style="0" customWidth="1"/>
    <col min="8" max="8" width="1.28515625" style="0" customWidth="1"/>
    <col min="9" max="9" width="7.57421875" style="0" customWidth="1"/>
    <col min="10" max="10" width="1.28515625" style="0" customWidth="1"/>
    <col min="11" max="11" width="7.57421875" style="0" customWidth="1"/>
    <col min="12" max="12" width="1.28515625" style="0" customWidth="1"/>
    <col min="13" max="13" width="9.57421875" style="0" customWidth="1"/>
    <col min="14" max="14" width="1.1484375" style="0" customWidth="1"/>
    <col min="15" max="15" width="8.28125" style="0" customWidth="1"/>
    <col min="16" max="16" width="1.1484375" style="0" customWidth="1"/>
    <col min="17" max="17" width="7.57421875" style="0" customWidth="1"/>
    <col min="18" max="18" width="1.28515625" style="0" customWidth="1"/>
    <col min="19" max="19" width="7.57421875" style="0" customWidth="1"/>
    <col min="20" max="20" width="1.28515625" style="0" customWidth="1"/>
    <col min="22" max="22" width="1.28515625" style="0" customWidth="1"/>
    <col min="23" max="23" width="12.57421875" style="0" customWidth="1"/>
    <col min="24" max="24" width="1.28515625" style="0" customWidth="1"/>
    <col min="26" max="26" width="1.28515625" style="0" customWidth="1"/>
    <col min="27" max="27" width="2.140625" style="0" customWidth="1"/>
    <col min="28" max="28" width="1.28515625" style="0" customWidth="1"/>
    <col min="29" max="29" width="10.00390625" style="0" customWidth="1"/>
    <col min="38" max="38" width="11.7109375" style="0" bestFit="1" customWidth="1"/>
    <col min="39" max="39" width="11.8515625" style="0" bestFit="1" customWidth="1"/>
  </cols>
  <sheetData>
    <row r="3" ht="18">
      <c r="A3" s="9" t="s">
        <v>55</v>
      </c>
    </row>
    <row r="5" ht="13.5" thickBot="1"/>
    <row r="6" spans="1:29" s="11" customFormat="1" ht="18" customHeight="1">
      <c r="A6" s="1086" t="s">
        <v>18</v>
      </c>
      <c r="B6" s="1133"/>
      <c r="C6" s="1087" t="s">
        <v>27</v>
      </c>
      <c r="D6" s="1087"/>
      <c r="E6" s="1086" t="s">
        <v>19</v>
      </c>
      <c r="F6" s="1087"/>
      <c r="G6" s="1087"/>
      <c r="H6" s="1087"/>
      <c r="I6" s="1087"/>
      <c r="J6" s="1087"/>
      <c r="K6" s="1087"/>
      <c r="L6" s="908"/>
      <c r="M6" s="1136" t="s">
        <v>25</v>
      </c>
      <c r="N6" s="1137"/>
      <c r="O6" s="909"/>
      <c r="P6" s="979"/>
      <c r="Q6" s="908" t="s">
        <v>20</v>
      </c>
      <c r="R6" s="908"/>
      <c r="S6" s="908"/>
      <c r="T6" s="908"/>
      <c r="U6" s="908"/>
      <c r="V6" s="910"/>
      <c r="W6" s="1129" t="s">
        <v>26</v>
      </c>
      <c r="X6" s="910"/>
      <c r="Y6" s="1124" t="s">
        <v>45</v>
      </c>
      <c r="Z6" s="1125"/>
      <c r="AC6" s="12"/>
    </row>
    <row r="7" spans="1:29" s="11" customFormat="1" ht="18" customHeight="1">
      <c r="A7" s="1134"/>
      <c r="B7" s="1135"/>
      <c r="C7" s="1128" t="s">
        <v>28</v>
      </c>
      <c r="D7" s="1128"/>
      <c r="E7" s="911" t="s">
        <v>21</v>
      </c>
      <c r="F7" s="912"/>
      <c r="G7" s="912" t="s">
        <v>22</v>
      </c>
      <c r="H7" s="912"/>
      <c r="I7" s="912" t="s">
        <v>23</v>
      </c>
      <c r="J7" s="912"/>
      <c r="K7" s="912" t="s">
        <v>24</v>
      </c>
      <c r="L7" s="912"/>
      <c r="M7" s="1138"/>
      <c r="N7" s="1139"/>
      <c r="O7" s="913" t="s">
        <v>21</v>
      </c>
      <c r="P7" s="913"/>
      <c r="Q7" s="912" t="s">
        <v>22</v>
      </c>
      <c r="R7" s="912"/>
      <c r="S7" s="914" t="s">
        <v>23</v>
      </c>
      <c r="T7" s="914"/>
      <c r="U7" s="914" t="s">
        <v>24</v>
      </c>
      <c r="V7" s="914"/>
      <c r="W7" s="1130"/>
      <c r="X7" s="915"/>
      <c r="Y7" s="1126" t="s">
        <v>44</v>
      </c>
      <c r="Z7" s="1127"/>
      <c r="AC7" s="13"/>
    </row>
    <row r="8" spans="1:29" ht="12" customHeight="1">
      <c r="A8" s="1120">
        <v>1995</v>
      </c>
      <c r="B8" s="1121"/>
      <c r="C8" s="24">
        <f aca="true" t="shared" si="0" ref="C8:C26">SUM(M8,W8)</f>
        <v>2491835</v>
      </c>
      <c r="D8" s="25"/>
      <c r="E8" s="26">
        <v>7</v>
      </c>
      <c r="F8" s="27"/>
      <c r="G8" s="28">
        <v>28</v>
      </c>
      <c r="H8" s="27"/>
      <c r="I8" s="28">
        <v>156</v>
      </c>
      <c r="J8" s="27"/>
      <c r="K8" s="28">
        <v>15</v>
      </c>
      <c r="L8" s="34"/>
      <c r="M8" s="26">
        <f aca="true" t="shared" si="1" ref="M8:M15">SUM(E8,G8,I8,K8)</f>
        <v>206</v>
      </c>
      <c r="N8" s="29"/>
      <c r="O8" s="34"/>
      <c r="P8" s="1014"/>
      <c r="Q8" s="34">
        <v>13</v>
      </c>
      <c r="R8" s="27"/>
      <c r="S8" s="24">
        <v>3747</v>
      </c>
      <c r="T8" s="30"/>
      <c r="U8" s="24">
        <v>2487869</v>
      </c>
      <c r="V8" s="25"/>
      <c r="W8" s="35">
        <f aca="true" t="shared" si="2" ref="W8:W23">SUM(Q8,S8,U8)</f>
        <v>2491629</v>
      </c>
      <c r="X8" s="31"/>
      <c r="Y8" s="33"/>
      <c r="Z8" s="29"/>
      <c r="AA8" s="6"/>
      <c r="AC8" s="15"/>
    </row>
    <row r="9" spans="1:29" ht="12" customHeight="1">
      <c r="A9" s="1120">
        <v>1996</v>
      </c>
      <c r="B9" s="1121"/>
      <c r="C9" s="24">
        <f t="shared" si="0"/>
        <v>2775713</v>
      </c>
      <c r="D9" s="25"/>
      <c r="E9" s="26">
        <v>8</v>
      </c>
      <c r="F9" s="27"/>
      <c r="G9" s="28">
        <v>28</v>
      </c>
      <c r="H9" s="27"/>
      <c r="I9" s="28">
        <v>153</v>
      </c>
      <c r="J9" s="27"/>
      <c r="K9" s="28">
        <v>10</v>
      </c>
      <c r="L9" s="34"/>
      <c r="M9" s="26">
        <f t="shared" si="1"/>
        <v>199</v>
      </c>
      <c r="N9" s="29"/>
      <c r="O9" s="34"/>
      <c r="P9" s="27"/>
      <c r="Q9" s="34">
        <v>15</v>
      </c>
      <c r="R9" s="27"/>
      <c r="S9" s="24">
        <v>4866</v>
      </c>
      <c r="T9" s="30"/>
      <c r="U9" s="24">
        <v>2770633</v>
      </c>
      <c r="V9" s="25"/>
      <c r="W9" s="35">
        <f t="shared" si="2"/>
        <v>2775514</v>
      </c>
      <c r="X9" s="31"/>
      <c r="Y9" s="33">
        <f aca="true" t="shared" si="3" ref="Y9:Y26">+(C9-C8)/C9</f>
        <v>0.10227210089803954</v>
      </c>
      <c r="Z9" s="29"/>
      <c r="AA9" s="6"/>
      <c r="AC9" s="15"/>
    </row>
    <row r="10" spans="1:29" ht="12" customHeight="1">
      <c r="A10" s="1120">
        <v>1997</v>
      </c>
      <c r="B10" s="1121"/>
      <c r="C10" s="24">
        <f t="shared" si="0"/>
        <v>2964315</v>
      </c>
      <c r="D10" s="25"/>
      <c r="E10" s="26">
        <v>11</v>
      </c>
      <c r="F10" s="27"/>
      <c r="G10" s="28">
        <v>35</v>
      </c>
      <c r="H10" s="27"/>
      <c r="I10" s="28">
        <v>157</v>
      </c>
      <c r="J10" s="27"/>
      <c r="K10" s="28">
        <v>9</v>
      </c>
      <c r="L10" s="34"/>
      <c r="M10" s="26">
        <f t="shared" si="1"/>
        <v>212</v>
      </c>
      <c r="N10" s="29"/>
      <c r="O10" s="34"/>
      <c r="P10" s="27"/>
      <c r="Q10" s="34">
        <v>17</v>
      </c>
      <c r="R10" s="27"/>
      <c r="S10" s="24">
        <v>4861</v>
      </c>
      <c r="T10" s="30"/>
      <c r="U10" s="24">
        <v>2959225</v>
      </c>
      <c r="V10" s="25"/>
      <c r="W10" s="35">
        <f t="shared" si="2"/>
        <v>2964103</v>
      </c>
      <c r="X10" s="31"/>
      <c r="Y10" s="33">
        <f t="shared" si="3"/>
        <v>0.0636241425084716</v>
      </c>
      <c r="Z10" s="29"/>
      <c r="AA10" s="6"/>
      <c r="AC10" s="15"/>
    </row>
    <row r="11" spans="1:29" ht="12" customHeight="1">
      <c r="A11" s="1140">
        <v>1998</v>
      </c>
      <c r="B11" s="1141"/>
      <c r="C11" s="99">
        <f t="shared" si="0"/>
        <v>3057320</v>
      </c>
      <c r="D11" s="100"/>
      <c r="E11" s="101">
        <v>17</v>
      </c>
      <c r="F11" s="102"/>
      <c r="G11" s="103">
        <v>37</v>
      </c>
      <c r="H11" s="102"/>
      <c r="I11" s="103">
        <v>163</v>
      </c>
      <c r="J11" s="102"/>
      <c r="K11" s="103">
        <v>1</v>
      </c>
      <c r="L11" s="104"/>
      <c r="M11" s="101">
        <f t="shared" si="1"/>
        <v>218</v>
      </c>
      <c r="N11" s="105"/>
      <c r="O11" s="104"/>
      <c r="P11" s="102"/>
      <c r="Q11" s="104">
        <v>13</v>
      </c>
      <c r="R11" s="102"/>
      <c r="S11" s="99">
        <v>5372</v>
      </c>
      <c r="T11" s="106"/>
      <c r="U11" s="99">
        <v>3051717</v>
      </c>
      <c r="V11" s="100"/>
      <c r="W11" s="107">
        <f t="shared" si="2"/>
        <v>3057102</v>
      </c>
      <c r="X11" s="108"/>
      <c r="Y11" s="109">
        <f t="shared" si="3"/>
        <v>0.030420433582353173</v>
      </c>
      <c r="Z11" s="105"/>
      <c r="AA11" s="6"/>
      <c r="AC11" s="15"/>
    </row>
    <row r="12" spans="1:29" ht="12" customHeight="1">
      <c r="A12" s="1120">
        <v>1999</v>
      </c>
      <c r="B12" s="1121"/>
      <c r="C12" s="24">
        <f t="shared" si="0"/>
        <v>3217058</v>
      </c>
      <c r="D12" s="25"/>
      <c r="E12" s="26">
        <v>13</v>
      </c>
      <c r="F12" s="27"/>
      <c r="G12" s="28">
        <v>41</v>
      </c>
      <c r="H12" s="27"/>
      <c r="I12" s="28">
        <v>168</v>
      </c>
      <c r="J12" s="27"/>
      <c r="K12" s="28">
        <v>1</v>
      </c>
      <c r="L12" s="34"/>
      <c r="M12" s="26">
        <f t="shared" si="1"/>
        <v>223</v>
      </c>
      <c r="N12" s="29"/>
      <c r="O12" s="34"/>
      <c r="P12" s="27"/>
      <c r="Q12" s="34">
        <v>20</v>
      </c>
      <c r="R12" s="27"/>
      <c r="S12" s="24">
        <v>5774</v>
      </c>
      <c r="T12" s="30"/>
      <c r="U12" s="24">
        <v>3211041</v>
      </c>
      <c r="V12" s="25"/>
      <c r="W12" s="35">
        <f t="shared" si="2"/>
        <v>3216835</v>
      </c>
      <c r="X12" s="31"/>
      <c r="Y12" s="33">
        <f t="shared" si="3"/>
        <v>0.04965344112540091</v>
      </c>
      <c r="Z12" s="29"/>
      <c r="AA12" s="6"/>
      <c r="AC12" s="15"/>
    </row>
    <row r="13" spans="1:29" ht="12" customHeight="1">
      <c r="A13" s="1120">
        <v>2000</v>
      </c>
      <c r="B13" s="1121"/>
      <c r="C13" s="24">
        <f t="shared" si="0"/>
        <v>3352209</v>
      </c>
      <c r="D13" s="25"/>
      <c r="E13" s="26">
        <v>15</v>
      </c>
      <c r="F13" s="27"/>
      <c r="G13" s="28">
        <v>40</v>
      </c>
      <c r="H13" s="27"/>
      <c r="I13" s="28">
        <v>174</v>
      </c>
      <c r="J13" s="27"/>
      <c r="K13" s="28"/>
      <c r="L13" s="34"/>
      <c r="M13" s="26">
        <f t="shared" si="1"/>
        <v>229</v>
      </c>
      <c r="N13" s="29"/>
      <c r="O13" s="34"/>
      <c r="P13" s="27"/>
      <c r="Q13" s="34">
        <v>9</v>
      </c>
      <c r="R13" s="27"/>
      <c r="S13" s="24">
        <v>6259</v>
      </c>
      <c r="T13" s="30"/>
      <c r="U13" s="24">
        <v>3345712</v>
      </c>
      <c r="V13" s="25"/>
      <c r="W13" s="35">
        <f t="shared" si="2"/>
        <v>3351980</v>
      </c>
      <c r="X13" s="31"/>
      <c r="Y13" s="33">
        <f t="shared" si="3"/>
        <v>0.040316996941419825</v>
      </c>
      <c r="Z13" s="29"/>
      <c r="AA13" s="6"/>
      <c r="AC13" s="15"/>
    </row>
    <row r="14" spans="1:29" ht="12" customHeight="1">
      <c r="A14" s="1120">
        <v>2001</v>
      </c>
      <c r="B14" s="1121"/>
      <c r="C14" s="24">
        <f t="shared" si="0"/>
        <v>3462851</v>
      </c>
      <c r="D14" s="25"/>
      <c r="E14" s="26">
        <v>23</v>
      </c>
      <c r="F14" s="27"/>
      <c r="G14" s="28">
        <v>38</v>
      </c>
      <c r="H14" s="27"/>
      <c r="I14" s="28">
        <v>180</v>
      </c>
      <c r="J14" s="27"/>
      <c r="K14" s="28"/>
      <c r="L14" s="34"/>
      <c r="M14" s="26">
        <f t="shared" si="1"/>
        <v>241</v>
      </c>
      <c r="N14" s="29"/>
      <c r="O14" s="34"/>
      <c r="P14" s="27"/>
      <c r="Q14" s="34">
        <v>9</v>
      </c>
      <c r="R14" s="27"/>
      <c r="S14" s="24">
        <v>6752</v>
      </c>
      <c r="T14" s="30"/>
      <c r="U14" s="24">
        <v>3455849</v>
      </c>
      <c r="V14" s="25"/>
      <c r="W14" s="35">
        <f t="shared" si="2"/>
        <v>3462610</v>
      </c>
      <c r="X14" s="31"/>
      <c r="Y14" s="33">
        <f t="shared" si="3"/>
        <v>0.0319511292862442</v>
      </c>
      <c r="Z14" s="29"/>
      <c r="AA14" s="6"/>
      <c r="AC14" s="15"/>
    </row>
    <row r="15" spans="1:29" ht="12" customHeight="1">
      <c r="A15" s="1120">
        <v>2002</v>
      </c>
      <c r="B15" s="1121"/>
      <c r="C15" s="24">
        <f t="shared" si="0"/>
        <v>3614484</v>
      </c>
      <c r="D15" s="25"/>
      <c r="E15" s="26">
        <v>32</v>
      </c>
      <c r="F15" s="27"/>
      <c r="G15" s="28">
        <v>41</v>
      </c>
      <c r="H15" s="27"/>
      <c r="I15" s="28">
        <v>188</v>
      </c>
      <c r="J15" s="27"/>
      <c r="K15" s="28"/>
      <c r="L15" s="34"/>
      <c r="M15" s="26">
        <f t="shared" si="1"/>
        <v>261</v>
      </c>
      <c r="N15" s="29"/>
      <c r="O15" s="34"/>
      <c r="P15" s="27"/>
      <c r="Q15" s="34">
        <v>11</v>
      </c>
      <c r="R15" s="27"/>
      <c r="S15" s="24">
        <v>7166</v>
      </c>
      <c r="T15" s="30"/>
      <c r="U15" s="24">
        <v>3607046</v>
      </c>
      <c r="V15" s="25"/>
      <c r="W15" s="35">
        <f t="shared" si="2"/>
        <v>3614223</v>
      </c>
      <c r="X15" s="31"/>
      <c r="Y15" s="33">
        <f t="shared" si="3"/>
        <v>0.0419514929378578</v>
      </c>
      <c r="Z15" s="29"/>
      <c r="AA15" s="6"/>
      <c r="AC15" s="15"/>
    </row>
    <row r="16" spans="1:29" ht="12" customHeight="1">
      <c r="A16" s="1120">
        <v>2003</v>
      </c>
      <c r="B16" s="1121"/>
      <c r="C16" s="24">
        <f t="shared" si="0"/>
        <v>3727266</v>
      </c>
      <c r="D16" s="25"/>
      <c r="E16" s="26">
        <v>37</v>
      </c>
      <c r="F16" s="27"/>
      <c r="G16" s="28">
        <v>35</v>
      </c>
      <c r="H16" s="27"/>
      <c r="I16" s="28">
        <v>175</v>
      </c>
      <c r="J16" s="27"/>
      <c r="K16" s="28"/>
      <c r="L16" s="34"/>
      <c r="M16" s="26">
        <f aca="true" t="shared" si="4" ref="M16:M26">SUM(E16,G16,I16,K16)</f>
        <v>247</v>
      </c>
      <c r="N16" s="29"/>
      <c r="O16" s="34"/>
      <c r="P16" s="27"/>
      <c r="Q16" s="34">
        <v>12</v>
      </c>
      <c r="R16" s="27"/>
      <c r="S16" s="24">
        <v>7598</v>
      </c>
      <c r="T16" s="30"/>
      <c r="U16" s="24">
        <v>3719409</v>
      </c>
      <c r="V16" s="25"/>
      <c r="W16" s="35">
        <f t="shared" si="2"/>
        <v>3727019</v>
      </c>
      <c r="X16" s="31"/>
      <c r="Y16" s="33">
        <f t="shared" si="3"/>
        <v>0.030258639979008742</v>
      </c>
      <c r="Z16" s="29"/>
      <c r="AA16" s="6"/>
      <c r="AC16" s="15"/>
    </row>
    <row r="17" spans="1:29" ht="12" customHeight="1">
      <c r="A17" s="1120">
        <v>2004</v>
      </c>
      <c r="B17" s="1121"/>
      <c r="C17" s="24">
        <f t="shared" si="0"/>
        <v>3860515</v>
      </c>
      <c r="D17" s="25"/>
      <c r="E17" s="26">
        <v>37</v>
      </c>
      <c r="F17" s="27"/>
      <c r="G17" s="28">
        <v>33</v>
      </c>
      <c r="H17" s="27"/>
      <c r="I17" s="28">
        <v>175</v>
      </c>
      <c r="J17" s="27"/>
      <c r="K17" s="28"/>
      <c r="L17" s="34"/>
      <c r="M17" s="26">
        <f t="shared" si="4"/>
        <v>245</v>
      </c>
      <c r="N17" s="29"/>
      <c r="O17" s="34"/>
      <c r="P17" s="27"/>
      <c r="Q17" s="34">
        <v>19</v>
      </c>
      <c r="R17" s="27"/>
      <c r="S17" s="24">
        <v>8120</v>
      </c>
      <c r="T17" s="30"/>
      <c r="U17" s="24">
        <v>3852131</v>
      </c>
      <c r="V17" s="25"/>
      <c r="W17" s="35">
        <f t="shared" si="2"/>
        <v>3860270</v>
      </c>
      <c r="X17" s="31"/>
      <c r="Y17" s="33">
        <f t="shared" si="3"/>
        <v>0.0345158612257691</v>
      </c>
      <c r="Z17" s="29"/>
      <c r="AA17" s="6"/>
      <c r="AC17" s="15"/>
    </row>
    <row r="18" spans="1:29" ht="12" customHeight="1">
      <c r="A18" s="1120">
        <v>2005</v>
      </c>
      <c r="B18" s="1121"/>
      <c r="C18" s="24">
        <f t="shared" si="0"/>
        <v>3977100</v>
      </c>
      <c r="D18" s="25"/>
      <c r="E18" s="26">
        <v>36</v>
      </c>
      <c r="F18" s="27"/>
      <c r="G18" s="28">
        <v>36</v>
      </c>
      <c r="H18" s="27"/>
      <c r="I18" s="28">
        <v>172</v>
      </c>
      <c r="J18" s="27"/>
      <c r="K18" s="28"/>
      <c r="L18" s="34"/>
      <c r="M18" s="26">
        <f t="shared" si="4"/>
        <v>244</v>
      </c>
      <c r="N18" s="29"/>
      <c r="O18" s="34"/>
      <c r="P18" s="27"/>
      <c r="Q18" s="34">
        <v>18</v>
      </c>
      <c r="R18" s="27"/>
      <c r="S18" s="24">
        <v>8727</v>
      </c>
      <c r="T18" s="30"/>
      <c r="U18" s="24">
        <v>3968111</v>
      </c>
      <c r="V18" s="25"/>
      <c r="W18" s="35">
        <f t="shared" si="2"/>
        <v>3976856</v>
      </c>
      <c r="X18" s="31"/>
      <c r="Y18" s="33">
        <f t="shared" si="3"/>
        <v>0.02931407306831611</v>
      </c>
      <c r="Z18" s="29"/>
      <c r="AA18" s="6"/>
      <c r="AC18" s="15"/>
    </row>
    <row r="19" spans="1:29" ht="12" customHeight="1">
      <c r="A19" s="1120">
        <v>2006</v>
      </c>
      <c r="B19" s="1121"/>
      <c r="C19" s="24">
        <f t="shared" si="0"/>
        <v>4165274</v>
      </c>
      <c r="D19" s="25"/>
      <c r="E19" s="26">
        <v>38</v>
      </c>
      <c r="F19" s="27"/>
      <c r="G19" s="28">
        <v>36</v>
      </c>
      <c r="H19" s="27"/>
      <c r="I19" s="28">
        <v>163</v>
      </c>
      <c r="J19" s="27"/>
      <c r="K19" s="28"/>
      <c r="L19" s="34"/>
      <c r="M19" s="26">
        <f t="shared" si="4"/>
        <v>237</v>
      </c>
      <c r="N19" s="29"/>
      <c r="O19" s="34"/>
      <c r="P19" s="27"/>
      <c r="Q19" s="34">
        <v>22</v>
      </c>
      <c r="R19" s="27"/>
      <c r="S19" s="24">
        <v>9454</v>
      </c>
      <c r="T19" s="30"/>
      <c r="U19" s="24">
        <v>4155561</v>
      </c>
      <c r="V19" s="30"/>
      <c r="W19" s="35">
        <f t="shared" si="2"/>
        <v>4165037</v>
      </c>
      <c r="X19" s="31"/>
      <c r="Y19" s="33">
        <f t="shared" si="3"/>
        <v>0.04517685991365754</v>
      </c>
      <c r="Z19" s="29"/>
      <c r="AA19" s="6"/>
      <c r="AC19" s="15"/>
    </row>
    <row r="20" spans="1:29" ht="12" customHeight="1">
      <c r="A20" s="1120">
        <v>2007</v>
      </c>
      <c r="B20" s="1121"/>
      <c r="C20" s="24">
        <f t="shared" si="0"/>
        <v>4359862</v>
      </c>
      <c r="D20" s="25"/>
      <c r="E20" s="26">
        <v>43</v>
      </c>
      <c r="F20" s="27"/>
      <c r="G20" s="28">
        <v>34</v>
      </c>
      <c r="H20" s="27"/>
      <c r="I20" s="28">
        <v>173</v>
      </c>
      <c r="J20" s="27"/>
      <c r="K20" s="28"/>
      <c r="L20" s="34"/>
      <c r="M20" s="26">
        <f t="shared" si="4"/>
        <v>250</v>
      </c>
      <c r="N20" s="29"/>
      <c r="O20" s="34"/>
      <c r="P20" s="27"/>
      <c r="Q20" s="34">
        <v>25</v>
      </c>
      <c r="R20" s="27"/>
      <c r="S20" s="24">
        <v>10314</v>
      </c>
      <c r="T20" s="30"/>
      <c r="U20" s="24">
        <v>4349273</v>
      </c>
      <c r="V20" s="30"/>
      <c r="W20" s="35">
        <f t="shared" si="2"/>
        <v>4359612</v>
      </c>
      <c r="X20" s="31"/>
      <c r="Y20" s="33">
        <f t="shared" si="3"/>
        <v>0.04463168788369907</v>
      </c>
      <c r="Z20" s="29"/>
      <c r="AA20" s="6"/>
      <c r="AC20" s="15"/>
    </row>
    <row r="21" spans="1:29" ht="12" customHeight="1">
      <c r="A21" s="1120">
        <v>2008</v>
      </c>
      <c r="B21" s="1121"/>
      <c r="C21" s="24">
        <f t="shared" si="0"/>
        <v>4624792</v>
      </c>
      <c r="D21" s="25"/>
      <c r="E21" s="26">
        <v>44</v>
      </c>
      <c r="F21" s="165"/>
      <c r="G21" s="28">
        <v>34</v>
      </c>
      <c r="H21" s="27"/>
      <c r="I21" s="28">
        <v>180</v>
      </c>
      <c r="J21" s="27"/>
      <c r="K21" s="28"/>
      <c r="L21" s="34"/>
      <c r="M21" s="26">
        <f t="shared" si="4"/>
        <v>258</v>
      </c>
      <c r="N21" s="98"/>
      <c r="O21" s="165"/>
      <c r="P21" s="1015"/>
      <c r="Q21" s="34">
        <v>24</v>
      </c>
      <c r="R21" s="27"/>
      <c r="S21" s="24">
        <v>11422</v>
      </c>
      <c r="T21" s="30"/>
      <c r="U21" s="24">
        <v>4613088</v>
      </c>
      <c r="V21" s="30"/>
      <c r="W21" s="35">
        <f t="shared" si="2"/>
        <v>4624534</v>
      </c>
      <c r="X21" s="31"/>
      <c r="Y21" s="33">
        <f t="shared" si="3"/>
        <v>0.05728473842715521</v>
      </c>
      <c r="Z21" s="29"/>
      <c r="AA21" s="6"/>
      <c r="AC21" s="15"/>
    </row>
    <row r="22" spans="1:29" ht="12" customHeight="1">
      <c r="A22" s="1120">
        <v>2009</v>
      </c>
      <c r="B22" s="1121"/>
      <c r="C22" s="24">
        <f t="shared" si="0"/>
        <v>4878964</v>
      </c>
      <c r="D22" s="25"/>
      <c r="E22" s="26">
        <v>42</v>
      </c>
      <c r="F22" s="185"/>
      <c r="G22" s="28">
        <v>40</v>
      </c>
      <c r="H22" s="27"/>
      <c r="I22" s="28">
        <v>187</v>
      </c>
      <c r="J22" s="27"/>
      <c r="K22" s="28"/>
      <c r="L22" s="34"/>
      <c r="M22" s="26">
        <f t="shared" si="4"/>
        <v>269</v>
      </c>
      <c r="N22" s="186"/>
      <c r="O22" s="207"/>
      <c r="P22" s="1016"/>
      <c r="Q22" s="34">
        <v>22</v>
      </c>
      <c r="R22" s="27"/>
      <c r="S22" s="24">
        <v>12368</v>
      </c>
      <c r="T22" s="30"/>
      <c r="U22" s="24">
        <v>4866305</v>
      </c>
      <c r="V22" s="30"/>
      <c r="W22" s="35">
        <f t="shared" si="2"/>
        <v>4878695</v>
      </c>
      <c r="X22" s="31"/>
      <c r="Y22" s="33">
        <f t="shared" si="3"/>
        <v>0.05209548584494577</v>
      </c>
      <c r="Z22" s="29"/>
      <c r="AA22" s="6"/>
      <c r="AC22" s="15"/>
    </row>
    <row r="23" spans="1:29" ht="12" customHeight="1">
      <c r="A23" s="1120">
        <v>2010</v>
      </c>
      <c r="B23" s="1121"/>
      <c r="C23" s="24">
        <f t="shared" si="0"/>
        <v>5170896</v>
      </c>
      <c r="D23" s="188"/>
      <c r="E23" s="203">
        <v>48</v>
      </c>
      <c r="F23" s="185"/>
      <c r="G23" s="204">
        <v>39</v>
      </c>
      <c r="H23" s="205"/>
      <c r="I23" s="204">
        <v>171</v>
      </c>
      <c r="J23" s="205"/>
      <c r="K23" s="204"/>
      <c r="L23" s="206"/>
      <c r="M23" s="26">
        <f t="shared" si="4"/>
        <v>258</v>
      </c>
      <c r="N23" s="207"/>
      <c r="O23" s="203"/>
      <c r="P23" s="1016"/>
      <c r="Q23" s="206">
        <v>23</v>
      </c>
      <c r="R23" s="205"/>
      <c r="S23" s="208">
        <v>13331</v>
      </c>
      <c r="T23" s="209"/>
      <c r="U23" s="208">
        <v>5157284</v>
      </c>
      <c r="V23" s="209"/>
      <c r="W23" s="35">
        <f t="shared" si="2"/>
        <v>5170638</v>
      </c>
      <c r="X23" s="210"/>
      <c r="Y23" s="33">
        <f t="shared" si="3"/>
        <v>0.05645675333636569</v>
      </c>
      <c r="Z23" s="194"/>
      <c r="AA23" s="6"/>
      <c r="AC23" s="15"/>
    </row>
    <row r="24" spans="1:29" ht="12" customHeight="1">
      <c r="A24" s="1120">
        <v>2011</v>
      </c>
      <c r="B24" s="1121"/>
      <c r="C24" s="24">
        <f t="shared" si="0"/>
        <v>5495222</v>
      </c>
      <c r="D24" s="25"/>
      <c r="E24" s="26">
        <v>48</v>
      </c>
      <c r="F24" s="165"/>
      <c r="G24" s="28">
        <v>45</v>
      </c>
      <c r="H24" s="27"/>
      <c r="I24" s="28">
        <v>168</v>
      </c>
      <c r="J24" s="27"/>
      <c r="K24" s="28"/>
      <c r="L24" s="34"/>
      <c r="M24" s="26">
        <f t="shared" si="4"/>
        <v>261</v>
      </c>
      <c r="N24" s="98"/>
      <c r="O24" s="165">
        <v>1</v>
      </c>
      <c r="P24" s="1015"/>
      <c r="Q24" s="34">
        <v>24</v>
      </c>
      <c r="R24" s="27"/>
      <c r="S24" s="24">
        <v>14409</v>
      </c>
      <c r="T24" s="30"/>
      <c r="U24" s="24">
        <v>5480527</v>
      </c>
      <c r="V24" s="30"/>
      <c r="W24" s="35">
        <f>SUM(Q24,S24,U24,O24)</f>
        <v>5494961</v>
      </c>
      <c r="X24" s="31"/>
      <c r="Y24" s="33">
        <f t="shared" si="3"/>
        <v>0.05901963560343877</v>
      </c>
      <c r="Z24" s="194"/>
      <c r="AA24" s="150"/>
      <c r="AC24" s="15"/>
    </row>
    <row r="25" spans="1:29" ht="12" customHeight="1">
      <c r="A25" s="1120">
        <v>2012</v>
      </c>
      <c r="B25" s="1121"/>
      <c r="C25" s="24">
        <f t="shared" si="0"/>
        <v>5834887</v>
      </c>
      <c r="D25" s="188"/>
      <c r="E25" s="203">
        <v>52</v>
      </c>
      <c r="F25" s="185"/>
      <c r="G25" s="204">
        <v>46</v>
      </c>
      <c r="H25" s="205"/>
      <c r="I25" s="204">
        <v>164</v>
      </c>
      <c r="J25" s="205"/>
      <c r="K25" s="204"/>
      <c r="L25" s="206"/>
      <c r="M25" s="26">
        <f t="shared" si="4"/>
        <v>262</v>
      </c>
      <c r="N25" s="207"/>
      <c r="O25" s="203">
        <v>1</v>
      </c>
      <c r="P25" s="1016"/>
      <c r="Q25" s="206">
        <v>19</v>
      </c>
      <c r="R25" s="205"/>
      <c r="S25" s="208">
        <v>15886</v>
      </c>
      <c r="T25" s="209"/>
      <c r="U25" s="208">
        <v>5818719</v>
      </c>
      <c r="V25" s="209"/>
      <c r="W25" s="35">
        <f>SUM(Q25,S25,U25,O25)</f>
        <v>5834625</v>
      </c>
      <c r="X25" s="210"/>
      <c r="Y25" s="33">
        <f t="shared" si="3"/>
        <v>0.05821278115583044</v>
      </c>
      <c r="Z25" s="194"/>
      <c r="AA25" s="23"/>
      <c r="AC25" s="15"/>
    </row>
    <row r="26" spans="1:29" ht="12" customHeight="1">
      <c r="A26" s="1120">
        <v>2013</v>
      </c>
      <c r="B26" s="1121"/>
      <c r="C26" s="24">
        <f t="shared" si="0"/>
        <v>6154548</v>
      </c>
      <c r="D26" s="188"/>
      <c r="E26" s="203">
        <v>57</v>
      </c>
      <c r="F26" s="185"/>
      <c r="G26" s="204">
        <v>57</v>
      </c>
      <c r="H26" s="205"/>
      <c r="I26" s="204">
        <v>166</v>
      </c>
      <c r="J26" s="205"/>
      <c r="K26" s="204"/>
      <c r="L26" s="206"/>
      <c r="M26" s="203">
        <f t="shared" si="4"/>
        <v>280</v>
      </c>
      <c r="N26" s="207"/>
      <c r="O26" s="203">
        <v>1</v>
      </c>
      <c r="P26" s="1016"/>
      <c r="Q26" s="206">
        <v>19</v>
      </c>
      <c r="R26" s="205"/>
      <c r="S26" s="208">
        <v>16940</v>
      </c>
      <c r="T26" s="209"/>
      <c r="U26" s="208">
        <v>6137308</v>
      </c>
      <c r="V26" s="209"/>
      <c r="W26" s="35">
        <f>SUM(Q26,S26,U26,O26)</f>
        <v>6154268</v>
      </c>
      <c r="X26" s="210"/>
      <c r="Y26" s="1018">
        <f t="shared" si="3"/>
        <v>0.05193898885832071</v>
      </c>
      <c r="Z26" s="194"/>
      <c r="AA26" s="23"/>
      <c r="AC26" s="15"/>
    </row>
    <row r="27" spans="1:29" ht="12" customHeight="1" thickBot="1">
      <c r="A27" s="1131"/>
      <c r="B27" s="1132"/>
      <c r="C27" s="198"/>
      <c r="D27" s="603"/>
      <c r="E27" s="191"/>
      <c r="F27" s="71"/>
      <c r="G27" s="189"/>
      <c r="H27" s="197"/>
      <c r="I27" s="189"/>
      <c r="J27" s="197"/>
      <c r="K27" s="189"/>
      <c r="L27" s="190"/>
      <c r="M27" s="191"/>
      <c r="N27" s="72"/>
      <c r="O27" s="191"/>
      <c r="P27" s="1017"/>
      <c r="Q27" s="190"/>
      <c r="R27" s="197"/>
      <c r="S27" s="198"/>
      <c r="T27" s="199"/>
      <c r="U27" s="198"/>
      <c r="V27" s="199"/>
      <c r="W27" s="200"/>
      <c r="X27" s="192"/>
      <c r="Y27" s="193"/>
      <c r="Z27" s="604"/>
      <c r="AA27" s="23"/>
      <c r="AC27" s="15"/>
    </row>
    <row r="28" spans="1:27" ht="12.75">
      <c r="A28" s="1116" t="s">
        <v>261</v>
      </c>
      <c r="B28" s="1117"/>
      <c r="C28" s="978">
        <f>(C26/C25)-1</f>
        <v>0.05478443712791692</v>
      </c>
      <c r="D28" s="156"/>
      <c r="E28" s="195"/>
      <c r="F28" s="196"/>
      <c r="G28" s="195"/>
      <c r="H28" s="131"/>
      <c r="I28" s="195"/>
      <c r="J28" s="131"/>
      <c r="K28" s="131"/>
      <c r="L28" s="131"/>
      <c r="M28" s="978">
        <f>(M26/M25)-1</f>
        <v>0.06870229007633588</v>
      </c>
      <c r="N28" s="156"/>
      <c r="O28" s="145"/>
      <c r="P28" s="602"/>
      <c r="Q28" s="195"/>
      <c r="R28" s="131"/>
      <c r="S28" s="195"/>
      <c r="T28" s="131"/>
      <c r="U28" s="195"/>
      <c r="V28" s="131"/>
      <c r="W28" s="978">
        <f>(W26/W25)-1</f>
        <v>0.054783812155879685</v>
      </c>
      <c r="X28" s="156"/>
      <c r="Y28" s="36"/>
      <c r="Z28" s="165"/>
      <c r="AA28" s="6"/>
    </row>
    <row r="29" spans="1:27" ht="12.75">
      <c r="A29" s="154" t="s">
        <v>259</v>
      </c>
      <c r="B29" s="155"/>
      <c r="C29" s="147">
        <f>+(C26/C21)^(1/5)-1</f>
        <v>0.05881672215749756</v>
      </c>
      <c r="D29" s="157"/>
      <c r="E29" s="146"/>
      <c r="F29" s="145"/>
      <c r="G29" s="145"/>
      <c r="H29" s="145"/>
      <c r="I29" s="145"/>
      <c r="J29" s="145"/>
      <c r="K29" s="145"/>
      <c r="L29" s="145"/>
      <c r="M29" s="147">
        <f>+(M26/M21)^(1/5)-1</f>
        <v>0.016500660281270507</v>
      </c>
      <c r="N29" s="156"/>
      <c r="O29" s="145"/>
      <c r="P29" s="145"/>
      <c r="Q29" s="145"/>
      <c r="R29" s="145"/>
      <c r="S29" s="145"/>
      <c r="T29" s="145"/>
      <c r="U29" s="145"/>
      <c r="V29" s="145"/>
      <c r="W29" s="147">
        <f>+(W26/W21)^(1/5)-1</f>
        <v>0.05881890162861825</v>
      </c>
      <c r="X29" s="156"/>
      <c r="Y29" s="36"/>
      <c r="Z29" s="36"/>
      <c r="AA29" s="6"/>
    </row>
    <row r="30" spans="1:27" ht="12.75">
      <c r="A30" s="1122" t="s">
        <v>260</v>
      </c>
      <c r="B30" s="1123"/>
      <c r="C30" s="147">
        <f>+(C26/C13)^(1/13)-1</f>
        <v>0.047845646813596376</v>
      </c>
      <c r="D30" s="156"/>
      <c r="E30" s="131"/>
      <c r="F30" s="131"/>
      <c r="G30" s="131"/>
      <c r="H30" s="131"/>
      <c r="I30" s="131"/>
      <c r="J30" s="131"/>
      <c r="K30" s="131"/>
      <c r="L30" s="131"/>
      <c r="M30" s="147">
        <f>+(M26/M13)^(1/13)-1</f>
        <v>0.015586967481460157</v>
      </c>
      <c r="N30" s="156"/>
      <c r="O30" s="145"/>
      <c r="P30" s="145"/>
      <c r="Q30" s="131"/>
      <c r="R30" s="131"/>
      <c r="S30" s="131"/>
      <c r="T30" s="131"/>
      <c r="U30" s="131"/>
      <c r="V30" s="131"/>
      <c r="W30" s="147">
        <f>+(W26/W13)^(1/13)-1</f>
        <v>0.04784748615914869</v>
      </c>
      <c r="X30" s="158"/>
      <c r="Y30" s="36"/>
      <c r="Z30" s="36"/>
      <c r="AA30" s="6"/>
    </row>
    <row r="31" spans="1:27" ht="13.5" thickBot="1">
      <c r="A31" s="1118" t="s">
        <v>256</v>
      </c>
      <c r="B31" s="1119"/>
      <c r="C31" s="612">
        <f>+C26/C13-1</f>
        <v>0.8359678647721547</v>
      </c>
      <c r="D31" s="159"/>
      <c r="E31" s="132"/>
      <c r="F31" s="132"/>
      <c r="G31" s="132"/>
      <c r="H31" s="132"/>
      <c r="I31" s="132"/>
      <c r="J31" s="132"/>
      <c r="K31" s="132"/>
      <c r="L31" s="132"/>
      <c r="M31" s="612">
        <f>+M26/M13-1</f>
        <v>0.222707423580786</v>
      </c>
      <c r="N31" s="159"/>
      <c r="O31" s="183"/>
      <c r="P31" s="183"/>
      <c r="Q31" s="132"/>
      <c r="R31" s="132"/>
      <c r="S31" s="132"/>
      <c r="T31" s="132"/>
      <c r="U31" s="132"/>
      <c r="V31" s="132"/>
      <c r="W31" s="612">
        <f>+W26/W13-1</f>
        <v>0.8360097613947577</v>
      </c>
      <c r="X31" s="159"/>
      <c r="Y31" s="36"/>
      <c r="Z31" s="36"/>
      <c r="AA31" s="6"/>
    </row>
    <row r="32" spans="1:27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12.75">
      <c r="A33" s="32" t="s">
        <v>56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ht="12.75">
      <c r="A34" s="32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ht="12.75">
      <c r="A35" s="3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ht="12.75">
      <c r="A36" s="32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40" spans="29:40" ht="12.75">
      <c r="AC40" s="112"/>
      <c r="AD40" s="3" t="s">
        <v>21</v>
      </c>
      <c r="AE40" s="3" t="s">
        <v>22</v>
      </c>
      <c r="AF40" s="3" t="s">
        <v>23</v>
      </c>
      <c r="AG40" s="3" t="s">
        <v>24</v>
      </c>
      <c r="AH40" s="3" t="s">
        <v>38</v>
      </c>
      <c r="AI40" s="211"/>
      <c r="AJ40" s="3" t="s">
        <v>21</v>
      </c>
      <c r="AK40" s="3" t="s">
        <v>22</v>
      </c>
      <c r="AL40" s="3" t="s">
        <v>23</v>
      </c>
      <c r="AM40" s="3" t="s">
        <v>24</v>
      </c>
      <c r="AN40" s="3" t="s">
        <v>39</v>
      </c>
    </row>
    <row r="41" spans="29:40" ht="12.75">
      <c r="AC41" s="128">
        <v>1998</v>
      </c>
      <c r="AD41" s="129">
        <f aca="true" t="shared" si="5" ref="AD41:AD56">E11</f>
        <v>17</v>
      </c>
      <c r="AE41" s="129">
        <f aca="true" t="shared" si="6" ref="AE41:AE56">G11</f>
        <v>37</v>
      </c>
      <c r="AF41" s="129">
        <f aca="true" t="shared" si="7" ref="AF41:AF56">I11</f>
        <v>163</v>
      </c>
      <c r="AG41" s="129">
        <f>K11</f>
        <v>1</v>
      </c>
      <c r="AH41" s="129">
        <f>SUM(AD41:AG41)</f>
        <v>218</v>
      </c>
      <c r="AI41" s="212"/>
      <c r="AJ41" s="129"/>
      <c r="AK41" s="129">
        <f aca="true" t="shared" si="8" ref="AK41:AK56">Q11</f>
        <v>13</v>
      </c>
      <c r="AL41" s="129">
        <f aca="true" t="shared" si="9" ref="AL41:AL56">S11</f>
        <v>5372</v>
      </c>
      <c r="AM41" s="129">
        <f aca="true" t="shared" si="10" ref="AM41:AM56">U11</f>
        <v>3051717</v>
      </c>
      <c r="AN41" s="129">
        <f>SUM(AK41:AM41)</f>
        <v>3057102</v>
      </c>
    </row>
    <row r="42" spans="29:40" ht="12.75">
      <c r="AC42" s="128">
        <v>1999</v>
      </c>
      <c r="AD42" s="129">
        <f t="shared" si="5"/>
        <v>13</v>
      </c>
      <c r="AE42" s="129">
        <f t="shared" si="6"/>
        <v>41</v>
      </c>
      <c r="AF42" s="129">
        <f t="shared" si="7"/>
        <v>168</v>
      </c>
      <c r="AG42" s="129">
        <f>K12</f>
        <v>1</v>
      </c>
      <c r="AH42" s="129">
        <f aca="true" t="shared" si="11" ref="AH42:AH49">SUM(AD42:AG42)</f>
        <v>223</v>
      </c>
      <c r="AI42" s="212"/>
      <c r="AJ42" s="129"/>
      <c r="AK42" s="129">
        <f t="shared" si="8"/>
        <v>20</v>
      </c>
      <c r="AL42" s="129">
        <f t="shared" si="9"/>
        <v>5774</v>
      </c>
      <c r="AM42" s="129">
        <f t="shared" si="10"/>
        <v>3211041</v>
      </c>
      <c r="AN42" s="129">
        <f aca="true" t="shared" si="12" ref="AN42:AN49">SUM(AK42:AM42)</f>
        <v>3216835</v>
      </c>
    </row>
    <row r="43" spans="29:40" ht="12.75">
      <c r="AC43" s="128">
        <v>2000</v>
      </c>
      <c r="AD43" s="129">
        <f t="shared" si="5"/>
        <v>15</v>
      </c>
      <c r="AE43" s="129">
        <f t="shared" si="6"/>
        <v>40</v>
      </c>
      <c r="AF43" s="129">
        <f t="shared" si="7"/>
        <v>174</v>
      </c>
      <c r="AG43" s="125"/>
      <c r="AH43" s="129">
        <f t="shared" si="11"/>
        <v>229</v>
      </c>
      <c r="AI43" s="212"/>
      <c r="AJ43" s="129"/>
      <c r="AK43" s="129">
        <f t="shared" si="8"/>
        <v>9</v>
      </c>
      <c r="AL43" s="129">
        <f t="shared" si="9"/>
        <v>6259</v>
      </c>
      <c r="AM43" s="129">
        <f t="shared" si="10"/>
        <v>3345712</v>
      </c>
      <c r="AN43" s="129">
        <f t="shared" si="12"/>
        <v>3351980</v>
      </c>
    </row>
    <row r="44" spans="29:40" ht="12.75">
      <c r="AC44" s="128">
        <v>2001</v>
      </c>
      <c r="AD44" s="129">
        <f t="shared" si="5"/>
        <v>23</v>
      </c>
      <c r="AE44" s="129">
        <f t="shared" si="6"/>
        <v>38</v>
      </c>
      <c r="AF44" s="129">
        <f t="shared" si="7"/>
        <v>180</v>
      </c>
      <c r="AG44" s="125"/>
      <c r="AH44" s="129">
        <f t="shared" si="11"/>
        <v>241</v>
      </c>
      <c r="AI44" s="212"/>
      <c r="AJ44" s="129"/>
      <c r="AK44" s="129">
        <f t="shared" si="8"/>
        <v>9</v>
      </c>
      <c r="AL44" s="129">
        <f t="shared" si="9"/>
        <v>6752</v>
      </c>
      <c r="AM44" s="129">
        <f t="shared" si="10"/>
        <v>3455849</v>
      </c>
      <c r="AN44" s="129">
        <f t="shared" si="12"/>
        <v>3462610</v>
      </c>
    </row>
    <row r="45" spans="29:40" ht="12.75">
      <c r="AC45" s="130">
        <v>2002</v>
      </c>
      <c r="AD45" s="129">
        <f t="shared" si="5"/>
        <v>32</v>
      </c>
      <c r="AE45" s="129">
        <f t="shared" si="6"/>
        <v>41</v>
      </c>
      <c r="AF45" s="129">
        <f t="shared" si="7"/>
        <v>188</v>
      </c>
      <c r="AG45" s="125"/>
      <c r="AH45" s="129">
        <f t="shared" si="11"/>
        <v>261</v>
      </c>
      <c r="AI45" s="212"/>
      <c r="AJ45" s="129"/>
      <c r="AK45" s="129">
        <f t="shared" si="8"/>
        <v>11</v>
      </c>
      <c r="AL45" s="129">
        <f t="shared" si="9"/>
        <v>7166</v>
      </c>
      <c r="AM45" s="129">
        <f t="shared" si="10"/>
        <v>3607046</v>
      </c>
      <c r="AN45" s="129">
        <f t="shared" si="12"/>
        <v>3614223</v>
      </c>
    </row>
    <row r="46" spans="29:40" ht="12.75">
      <c r="AC46" s="130">
        <v>2003</v>
      </c>
      <c r="AD46" s="129">
        <f t="shared" si="5"/>
        <v>37</v>
      </c>
      <c r="AE46" s="129">
        <f t="shared" si="6"/>
        <v>35</v>
      </c>
      <c r="AF46" s="129">
        <f t="shared" si="7"/>
        <v>175</v>
      </c>
      <c r="AG46" s="125"/>
      <c r="AH46" s="129">
        <f t="shared" si="11"/>
        <v>247</v>
      </c>
      <c r="AI46" s="212"/>
      <c r="AJ46" s="129"/>
      <c r="AK46" s="129">
        <f t="shared" si="8"/>
        <v>12</v>
      </c>
      <c r="AL46" s="129">
        <f t="shared" si="9"/>
        <v>7598</v>
      </c>
      <c r="AM46" s="129">
        <f t="shared" si="10"/>
        <v>3719409</v>
      </c>
      <c r="AN46" s="129">
        <f t="shared" si="12"/>
        <v>3727019</v>
      </c>
    </row>
    <row r="47" spans="29:40" ht="12.75">
      <c r="AC47" s="130">
        <v>2004</v>
      </c>
      <c r="AD47" s="129">
        <f t="shared" si="5"/>
        <v>37</v>
      </c>
      <c r="AE47" s="129">
        <f t="shared" si="6"/>
        <v>33</v>
      </c>
      <c r="AF47" s="129">
        <f t="shared" si="7"/>
        <v>175</v>
      </c>
      <c r="AG47" s="125"/>
      <c r="AH47" s="129">
        <f t="shared" si="11"/>
        <v>245</v>
      </c>
      <c r="AI47" s="212"/>
      <c r="AJ47" s="129"/>
      <c r="AK47" s="129">
        <f t="shared" si="8"/>
        <v>19</v>
      </c>
      <c r="AL47" s="129">
        <f t="shared" si="9"/>
        <v>8120</v>
      </c>
      <c r="AM47" s="129">
        <f t="shared" si="10"/>
        <v>3852131</v>
      </c>
      <c r="AN47" s="129">
        <f t="shared" si="12"/>
        <v>3860270</v>
      </c>
    </row>
    <row r="48" spans="29:40" ht="12.75">
      <c r="AC48" s="130">
        <v>2005</v>
      </c>
      <c r="AD48" s="129">
        <f t="shared" si="5"/>
        <v>36</v>
      </c>
      <c r="AE48" s="129">
        <f t="shared" si="6"/>
        <v>36</v>
      </c>
      <c r="AF48" s="129">
        <f t="shared" si="7"/>
        <v>172</v>
      </c>
      <c r="AG48" s="125"/>
      <c r="AH48" s="129">
        <f t="shared" si="11"/>
        <v>244</v>
      </c>
      <c r="AI48" s="212"/>
      <c r="AJ48" s="129"/>
      <c r="AK48" s="129">
        <f t="shared" si="8"/>
        <v>18</v>
      </c>
      <c r="AL48" s="129">
        <f t="shared" si="9"/>
        <v>8727</v>
      </c>
      <c r="AM48" s="129">
        <f t="shared" si="10"/>
        <v>3968111</v>
      </c>
      <c r="AN48" s="129">
        <f t="shared" si="12"/>
        <v>3976856</v>
      </c>
    </row>
    <row r="49" spans="29:40" ht="12.75">
      <c r="AC49" s="130">
        <v>2006</v>
      </c>
      <c r="AD49" s="129">
        <f t="shared" si="5"/>
        <v>38</v>
      </c>
      <c r="AE49" s="129">
        <f t="shared" si="6"/>
        <v>36</v>
      </c>
      <c r="AF49" s="129">
        <f t="shared" si="7"/>
        <v>163</v>
      </c>
      <c r="AG49" s="125"/>
      <c r="AH49" s="129">
        <f t="shared" si="11"/>
        <v>237</v>
      </c>
      <c r="AI49" s="212"/>
      <c r="AJ49" s="129"/>
      <c r="AK49" s="129">
        <f t="shared" si="8"/>
        <v>22</v>
      </c>
      <c r="AL49" s="129">
        <f t="shared" si="9"/>
        <v>9454</v>
      </c>
      <c r="AM49" s="129">
        <f t="shared" si="10"/>
        <v>4155561</v>
      </c>
      <c r="AN49" s="129">
        <f t="shared" si="12"/>
        <v>4165037</v>
      </c>
    </row>
    <row r="50" spans="29:40" ht="12.75">
      <c r="AC50" s="130">
        <v>2007</v>
      </c>
      <c r="AD50" s="129">
        <f t="shared" si="5"/>
        <v>43</v>
      </c>
      <c r="AE50" s="129">
        <f t="shared" si="6"/>
        <v>34</v>
      </c>
      <c r="AF50" s="129">
        <f t="shared" si="7"/>
        <v>173</v>
      </c>
      <c r="AG50" s="125"/>
      <c r="AH50" s="129">
        <f aca="true" t="shared" si="13" ref="AH50:AH55">SUM(AD50:AG50)</f>
        <v>250</v>
      </c>
      <c r="AI50" s="212"/>
      <c r="AJ50" s="129"/>
      <c r="AK50" s="129">
        <f t="shared" si="8"/>
        <v>25</v>
      </c>
      <c r="AL50" s="129">
        <f t="shared" si="9"/>
        <v>10314</v>
      </c>
      <c r="AM50" s="129">
        <f t="shared" si="10"/>
        <v>4349273</v>
      </c>
      <c r="AN50" s="129">
        <f>SUM(AK50:AM50)</f>
        <v>4359612</v>
      </c>
    </row>
    <row r="51" spans="29:40" ht="12.75">
      <c r="AC51" s="130">
        <v>2008</v>
      </c>
      <c r="AD51" s="129">
        <f t="shared" si="5"/>
        <v>44</v>
      </c>
      <c r="AE51" s="129">
        <f t="shared" si="6"/>
        <v>34</v>
      </c>
      <c r="AF51" s="129">
        <f t="shared" si="7"/>
        <v>180</v>
      </c>
      <c r="AG51" s="125"/>
      <c r="AH51" s="129">
        <f t="shared" si="13"/>
        <v>258</v>
      </c>
      <c r="AI51" s="212"/>
      <c r="AJ51" s="129"/>
      <c r="AK51" s="129">
        <f t="shared" si="8"/>
        <v>24</v>
      </c>
      <c r="AL51" s="129">
        <f t="shared" si="9"/>
        <v>11422</v>
      </c>
      <c r="AM51" s="129">
        <f t="shared" si="10"/>
        <v>4613088</v>
      </c>
      <c r="AN51" s="129">
        <f>SUM(AK51:AM51)</f>
        <v>4624534</v>
      </c>
    </row>
    <row r="52" spans="29:40" ht="12.75">
      <c r="AC52" s="130">
        <v>2009</v>
      </c>
      <c r="AD52" s="129">
        <f t="shared" si="5"/>
        <v>42</v>
      </c>
      <c r="AE52" s="129">
        <f t="shared" si="6"/>
        <v>40</v>
      </c>
      <c r="AF52" s="129">
        <f t="shared" si="7"/>
        <v>187</v>
      </c>
      <c r="AG52" s="125"/>
      <c r="AH52" s="129">
        <f t="shared" si="13"/>
        <v>269</v>
      </c>
      <c r="AI52" s="212"/>
      <c r="AJ52" s="129"/>
      <c r="AK52" s="129">
        <f t="shared" si="8"/>
        <v>22</v>
      </c>
      <c r="AL52" s="129">
        <f t="shared" si="9"/>
        <v>12368</v>
      </c>
      <c r="AM52" s="129">
        <f t="shared" si="10"/>
        <v>4866305</v>
      </c>
      <c r="AN52" s="129">
        <f>SUM(AK52:AM52)</f>
        <v>4878695</v>
      </c>
    </row>
    <row r="53" spans="29:40" ht="12.75">
      <c r="AC53" s="130">
        <v>2010</v>
      </c>
      <c r="AD53" s="129">
        <f t="shared" si="5"/>
        <v>48</v>
      </c>
      <c r="AE53" s="129">
        <f t="shared" si="6"/>
        <v>39</v>
      </c>
      <c r="AF53" s="129">
        <f t="shared" si="7"/>
        <v>171</v>
      </c>
      <c r="AG53" s="125"/>
      <c r="AH53" s="129">
        <f t="shared" si="13"/>
        <v>258</v>
      </c>
      <c r="AI53" s="212"/>
      <c r="AJ53" s="129"/>
      <c r="AK53" s="129">
        <f t="shared" si="8"/>
        <v>23</v>
      </c>
      <c r="AL53" s="129">
        <f t="shared" si="9"/>
        <v>13331</v>
      </c>
      <c r="AM53" s="129">
        <f t="shared" si="10"/>
        <v>5157284</v>
      </c>
      <c r="AN53" s="129">
        <f>SUM(AK53:AM53)</f>
        <v>5170638</v>
      </c>
    </row>
    <row r="54" spans="29:40" ht="12.75">
      <c r="AC54" s="130">
        <v>2011</v>
      </c>
      <c r="AD54" s="129">
        <f t="shared" si="5"/>
        <v>48</v>
      </c>
      <c r="AE54" s="129">
        <f t="shared" si="6"/>
        <v>45</v>
      </c>
      <c r="AF54" s="129">
        <f t="shared" si="7"/>
        <v>168</v>
      </c>
      <c r="AG54" s="125"/>
      <c r="AH54" s="129">
        <f t="shared" si="13"/>
        <v>261</v>
      </c>
      <c r="AI54" s="212"/>
      <c r="AJ54" s="129">
        <f>O24</f>
        <v>1</v>
      </c>
      <c r="AK54" s="129">
        <f t="shared" si="8"/>
        <v>24</v>
      </c>
      <c r="AL54" s="129">
        <f t="shared" si="9"/>
        <v>14409</v>
      </c>
      <c r="AM54" s="129">
        <f t="shared" si="10"/>
        <v>5480527</v>
      </c>
      <c r="AN54" s="129">
        <f>SUM(AJ54:AM54)</f>
        <v>5494961</v>
      </c>
    </row>
    <row r="55" spans="29:40" ht="12.75">
      <c r="AC55" s="130">
        <v>2012</v>
      </c>
      <c r="AD55" s="129">
        <f t="shared" si="5"/>
        <v>52</v>
      </c>
      <c r="AE55" s="129">
        <f t="shared" si="6"/>
        <v>46</v>
      </c>
      <c r="AF55" s="129">
        <f t="shared" si="7"/>
        <v>164</v>
      </c>
      <c r="AG55" s="125"/>
      <c r="AH55" s="129">
        <f t="shared" si="13"/>
        <v>262</v>
      </c>
      <c r="AJ55" s="129">
        <f>O25</f>
        <v>1</v>
      </c>
      <c r="AK55" s="129">
        <f t="shared" si="8"/>
        <v>19</v>
      </c>
      <c r="AL55" s="129">
        <f t="shared" si="9"/>
        <v>15886</v>
      </c>
      <c r="AM55" s="129">
        <f t="shared" si="10"/>
        <v>5818719</v>
      </c>
      <c r="AN55" s="129">
        <f>SUM(AJ55:AM55)</f>
        <v>5834625</v>
      </c>
    </row>
    <row r="56" spans="29:40" ht="12.75">
      <c r="AC56" s="130">
        <v>2013</v>
      </c>
      <c r="AD56" s="129">
        <f t="shared" si="5"/>
        <v>57</v>
      </c>
      <c r="AE56" s="129">
        <f t="shared" si="6"/>
        <v>57</v>
      </c>
      <c r="AF56" s="129">
        <f t="shared" si="7"/>
        <v>166</v>
      </c>
      <c r="AG56" s="125"/>
      <c r="AH56" s="129">
        <f>SUM(AD56:AG56)</f>
        <v>280</v>
      </c>
      <c r="AJ56" s="129">
        <f>O26</f>
        <v>1</v>
      </c>
      <c r="AK56" s="129">
        <f t="shared" si="8"/>
        <v>19</v>
      </c>
      <c r="AL56" s="129">
        <f t="shared" si="9"/>
        <v>16940</v>
      </c>
      <c r="AM56" s="129">
        <f t="shared" si="10"/>
        <v>6137308</v>
      </c>
      <c r="AN56" s="129">
        <f>SUM(AJ56:AM56)</f>
        <v>6154268</v>
      </c>
    </row>
  </sheetData>
  <sheetProtection/>
  <mergeCells count="31">
    <mergeCell ref="A12:B12"/>
    <mergeCell ref="M6:N7"/>
    <mergeCell ref="A26:B26"/>
    <mergeCell ref="A15:B15"/>
    <mergeCell ref="E6:K6"/>
    <mergeCell ref="A19:B19"/>
    <mergeCell ref="A20:B20"/>
    <mergeCell ref="A11:B11"/>
    <mergeCell ref="A25:B25"/>
    <mergeCell ref="A24:B24"/>
    <mergeCell ref="A21:B21"/>
    <mergeCell ref="Y6:Z6"/>
    <mergeCell ref="Y7:Z7"/>
    <mergeCell ref="C6:D6"/>
    <mergeCell ref="C7:D7"/>
    <mergeCell ref="W6:W7"/>
    <mergeCell ref="A27:B27"/>
    <mergeCell ref="A13:B13"/>
    <mergeCell ref="A6:B7"/>
    <mergeCell ref="A9:B9"/>
    <mergeCell ref="A22:B22"/>
    <mergeCell ref="A28:B28"/>
    <mergeCell ref="A31:B31"/>
    <mergeCell ref="A8:B8"/>
    <mergeCell ref="A30:B30"/>
    <mergeCell ref="A17:B17"/>
    <mergeCell ref="A18:B18"/>
    <mergeCell ref="A10:B10"/>
    <mergeCell ref="A23:B23"/>
    <mergeCell ref="A14:B14"/>
    <mergeCell ref="A16:B16"/>
  </mergeCells>
  <printOptions/>
  <pageMargins left="0.94" right="0.18" top="0.78" bottom="1" header="0" footer="0"/>
  <pageSetup fitToHeight="1" fitToWidth="1" horizontalDpi="600" verticalDpi="600" orientation="portrait" paperSize="9" scale="6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96"/>
  <sheetViews>
    <sheetView view="pageBreakPreview" zoomScaleSheetLayoutView="100" zoomScalePageLayoutView="0" workbookViewId="0" topLeftCell="A13">
      <selection activeCell="E61" sqref="E61"/>
    </sheetView>
  </sheetViews>
  <sheetFormatPr defaultColWidth="11.421875" defaultRowHeight="12.75"/>
  <cols>
    <col min="1" max="1" width="17.7109375" style="917" customWidth="1"/>
    <col min="2" max="2" width="11.140625" style="917" customWidth="1"/>
    <col min="3" max="3" width="12.57421875" style="917" bestFit="1" customWidth="1"/>
    <col min="4" max="5" width="13.421875" style="917" bestFit="1" customWidth="1"/>
    <col min="6" max="10" width="11.421875" style="917" customWidth="1"/>
    <col min="11" max="11" width="7.421875" style="917" customWidth="1"/>
    <col min="12" max="13" width="11.421875" style="917" customWidth="1"/>
    <col min="14" max="14" width="15.00390625" style="917" customWidth="1"/>
    <col min="15" max="16384" width="11.421875" style="917" customWidth="1"/>
  </cols>
  <sheetData>
    <row r="1" ht="12.75"/>
    <row r="2" ht="12.75"/>
    <row r="3" ht="12.75">
      <c r="A3" s="930" t="s">
        <v>79</v>
      </c>
    </row>
    <row r="4" ht="12.75">
      <c r="A4" s="930"/>
    </row>
    <row r="5" ht="13.5" thickBot="1">
      <c r="A5" s="930"/>
    </row>
    <row r="6" spans="1:5" ht="12.75">
      <c r="A6" s="1144" t="s">
        <v>59</v>
      </c>
      <c r="B6" s="1146" t="s">
        <v>80</v>
      </c>
      <c r="C6" s="1147"/>
      <c r="D6" s="1147"/>
      <c r="E6" s="1148"/>
    </row>
    <row r="7" spans="1:5" ht="12.75">
      <c r="A7" s="1145"/>
      <c r="B7" s="931" t="s">
        <v>3</v>
      </c>
      <c r="C7" s="931" t="s">
        <v>11</v>
      </c>
      <c r="D7" s="931" t="s">
        <v>81</v>
      </c>
      <c r="E7" s="932" t="s">
        <v>10</v>
      </c>
    </row>
    <row r="8" spans="1:5" ht="12.75">
      <c r="A8" s="577">
        <v>1995</v>
      </c>
      <c r="B8" s="575">
        <f aca="true" t="shared" si="0" ref="B8:B14">SUM(C8:E8)</f>
        <v>7479</v>
      </c>
      <c r="C8" s="918">
        <v>2080</v>
      </c>
      <c r="D8" s="918">
        <v>306</v>
      </c>
      <c r="E8" s="579">
        <v>5093</v>
      </c>
    </row>
    <row r="9" spans="1:5" ht="12.75">
      <c r="A9" s="577">
        <v>1996</v>
      </c>
      <c r="B9" s="576">
        <f t="shared" si="0"/>
        <v>6401</v>
      </c>
      <c r="C9" s="578">
        <v>1672</v>
      </c>
      <c r="D9" s="578">
        <v>351</v>
      </c>
      <c r="E9" s="579">
        <v>4378</v>
      </c>
    </row>
    <row r="10" spans="1:5" ht="12.75">
      <c r="A10" s="577">
        <v>1997</v>
      </c>
      <c r="B10" s="576">
        <f t="shared" si="0"/>
        <v>6140</v>
      </c>
      <c r="C10" s="578">
        <v>2006</v>
      </c>
      <c r="D10" s="578">
        <v>345</v>
      </c>
      <c r="E10" s="579">
        <v>3789</v>
      </c>
    </row>
    <row r="11" spans="1:5" ht="12.75">
      <c r="A11" s="577">
        <v>1998</v>
      </c>
      <c r="B11" s="576">
        <f t="shared" si="0"/>
        <v>6138</v>
      </c>
      <c r="C11" s="578">
        <v>1884</v>
      </c>
      <c r="D11" s="578">
        <v>419</v>
      </c>
      <c r="E11" s="579">
        <v>3835</v>
      </c>
    </row>
    <row r="12" spans="1:5" ht="12.75">
      <c r="A12" s="577">
        <v>1999</v>
      </c>
      <c r="B12" s="576">
        <f t="shared" si="0"/>
        <v>5477</v>
      </c>
      <c r="C12" s="919">
        <v>1806</v>
      </c>
      <c r="D12" s="578">
        <v>436</v>
      </c>
      <c r="E12" s="579">
        <v>3235</v>
      </c>
    </row>
    <row r="13" spans="1:5" ht="12.75">
      <c r="A13" s="577">
        <v>2000</v>
      </c>
      <c r="B13" s="576">
        <f t="shared" si="0"/>
        <v>5241</v>
      </c>
      <c r="C13" s="578">
        <v>1733</v>
      </c>
      <c r="D13" s="578">
        <v>512</v>
      </c>
      <c r="E13" s="579">
        <v>2996</v>
      </c>
    </row>
    <row r="14" spans="1:5" ht="12.75">
      <c r="A14" s="577">
        <v>2001</v>
      </c>
      <c r="B14" s="576">
        <f t="shared" si="0"/>
        <v>5274</v>
      </c>
      <c r="C14" s="578">
        <v>1708</v>
      </c>
      <c r="D14" s="578">
        <v>571</v>
      </c>
      <c r="E14" s="579">
        <v>2995</v>
      </c>
    </row>
    <row r="15" spans="1:5" ht="12.75">
      <c r="A15" s="577">
        <v>2002</v>
      </c>
      <c r="B15" s="576">
        <v>5426</v>
      </c>
      <c r="C15" s="578">
        <v>1832</v>
      </c>
      <c r="D15" s="578">
        <v>544</v>
      </c>
      <c r="E15" s="579">
        <v>3349</v>
      </c>
    </row>
    <row r="16" spans="1:5" ht="12.75">
      <c r="A16" s="577">
        <v>2003</v>
      </c>
      <c r="B16" s="576">
        <f>SUM(C16:E16)</f>
        <v>6203</v>
      </c>
      <c r="C16" s="578">
        <v>1901</v>
      </c>
      <c r="D16" s="578">
        <v>711</v>
      </c>
      <c r="E16" s="579">
        <v>3591</v>
      </c>
    </row>
    <row r="17" spans="1:5" ht="12.75">
      <c r="A17" s="577">
        <v>2004</v>
      </c>
      <c r="B17" s="576">
        <f>SUM(C17:E17)</f>
        <v>5938</v>
      </c>
      <c r="C17" s="578">
        <v>1600</v>
      </c>
      <c r="D17" s="578">
        <v>444</v>
      </c>
      <c r="E17" s="579">
        <v>3894</v>
      </c>
    </row>
    <row r="18" spans="1:5" ht="12.75">
      <c r="A18" s="577">
        <v>2005</v>
      </c>
      <c r="B18" s="576">
        <f>SUM(C18:E18)</f>
        <v>6055</v>
      </c>
      <c r="C18" s="578">
        <v>1721</v>
      </c>
      <c r="D18" s="578">
        <v>420</v>
      </c>
      <c r="E18" s="579">
        <v>3914</v>
      </c>
    </row>
    <row r="19" spans="1:5" ht="12.75">
      <c r="A19" s="577">
        <v>2006</v>
      </c>
      <c r="B19" s="576">
        <f>SUM(C19:E19)</f>
        <v>6157</v>
      </c>
      <c r="C19" s="578">
        <v>1730</v>
      </c>
      <c r="D19" s="578">
        <v>433</v>
      </c>
      <c r="E19" s="579">
        <v>3994</v>
      </c>
    </row>
    <row r="20" spans="1:5" ht="12.75">
      <c r="A20" s="577">
        <v>2007</v>
      </c>
      <c r="B20" s="576">
        <v>6347</v>
      </c>
      <c r="C20" s="578">
        <v>1939</v>
      </c>
      <c r="D20" s="578">
        <v>431</v>
      </c>
      <c r="E20" s="579">
        <v>3977</v>
      </c>
    </row>
    <row r="21" spans="1:5" ht="12.75">
      <c r="A21" s="577">
        <v>2008</v>
      </c>
      <c r="B21" s="576">
        <f aca="true" t="shared" si="1" ref="B21:B26">SUM(C21:E21)</f>
        <v>6427</v>
      </c>
      <c r="C21" s="578">
        <v>1943</v>
      </c>
      <c r="D21" s="578">
        <v>456</v>
      </c>
      <c r="E21" s="579">
        <v>4028</v>
      </c>
    </row>
    <row r="22" spans="1:5" ht="12.75">
      <c r="A22" s="577">
        <v>2009</v>
      </c>
      <c r="B22" s="576">
        <f t="shared" si="1"/>
        <v>6758</v>
      </c>
      <c r="C22" s="578">
        <v>2156</v>
      </c>
      <c r="D22" s="578">
        <v>469</v>
      </c>
      <c r="E22" s="579">
        <v>4133</v>
      </c>
    </row>
    <row r="23" spans="1:5" ht="12.75" customHeight="1">
      <c r="A23" s="577">
        <v>2010</v>
      </c>
      <c r="B23" s="576">
        <f t="shared" si="1"/>
        <v>6901</v>
      </c>
      <c r="C23" s="578">
        <v>2296</v>
      </c>
      <c r="D23" s="578">
        <v>474</v>
      </c>
      <c r="E23" s="579">
        <v>4131</v>
      </c>
    </row>
    <row r="24" spans="1:5" ht="12.75" customHeight="1">
      <c r="A24" s="577">
        <v>2011</v>
      </c>
      <c r="B24" s="576">
        <f t="shared" si="1"/>
        <v>7677</v>
      </c>
      <c r="C24" s="578">
        <v>2411</v>
      </c>
      <c r="D24" s="578">
        <v>560</v>
      </c>
      <c r="E24" s="579">
        <v>4706</v>
      </c>
    </row>
    <row r="25" spans="1:5" ht="12.75" customHeight="1">
      <c r="A25" s="577">
        <v>2012</v>
      </c>
      <c r="B25" s="576">
        <f t="shared" si="1"/>
        <v>7903</v>
      </c>
      <c r="C25" s="578">
        <v>2476</v>
      </c>
      <c r="D25" s="578">
        <v>560</v>
      </c>
      <c r="E25" s="579">
        <v>4867</v>
      </c>
    </row>
    <row r="26" spans="1:5" ht="13.5" thickBot="1">
      <c r="A26" s="580">
        <v>2013</v>
      </c>
      <c r="B26" s="581">
        <f t="shared" si="1"/>
        <v>7842</v>
      </c>
      <c r="C26" s="582">
        <v>2392</v>
      </c>
      <c r="D26" s="582">
        <v>538</v>
      </c>
      <c r="E26" s="583">
        <v>4912</v>
      </c>
    </row>
    <row r="27" ht="12.75"/>
    <row r="28" ht="12.75"/>
    <row r="29" ht="12.75"/>
    <row r="30" ht="12.75"/>
    <row r="31" ht="12.75"/>
    <row r="32" ht="12.75"/>
    <row r="33" ht="12.75"/>
    <row r="34" ht="12.75"/>
    <row r="35" ht="12.75">
      <c r="A35" s="930" t="s">
        <v>82</v>
      </c>
    </row>
    <row r="36" ht="13.5" thickBot="1"/>
    <row r="37" spans="1:3" ht="27" customHeight="1">
      <c r="A37" s="916" t="s">
        <v>18</v>
      </c>
      <c r="B37" s="1149" t="s">
        <v>83</v>
      </c>
      <c r="C37" s="1150"/>
    </row>
    <row r="38" spans="1:3" ht="12.75">
      <c r="A38" s="577"/>
      <c r="B38" s="920"/>
      <c r="C38" s="921"/>
    </row>
    <row r="39" spans="1:3" ht="12.75">
      <c r="A39" s="577">
        <v>1995</v>
      </c>
      <c r="B39" s="1151">
        <v>19.7</v>
      </c>
      <c r="C39" s="1152"/>
    </row>
    <row r="40" spans="1:3" ht="12.75">
      <c r="A40" s="577">
        <v>1996</v>
      </c>
      <c r="B40" s="1151">
        <v>17</v>
      </c>
      <c r="C40" s="1152"/>
    </row>
    <row r="41" spans="1:3" ht="12.75">
      <c r="A41" s="577">
        <v>1997</v>
      </c>
      <c r="B41" s="1151">
        <v>14.5</v>
      </c>
      <c r="C41" s="1152"/>
    </row>
    <row r="42" spans="1:3" ht="12.75">
      <c r="A42" s="577">
        <v>1998</v>
      </c>
      <c r="B42" s="1151">
        <v>12.4</v>
      </c>
      <c r="C42" s="1152"/>
    </row>
    <row r="43" spans="1:3" ht="12.75">
      <c r="A43" s="577">
        <v>1999</v>
      </c>
      <c r="B43" s="1151">
        <v>11.3</v>
      </c>
      <c r="C43" s="1152"/>
    </row>
    <row r="44" spans="1:3" ht="12.75">
      <c r="A44" s="577">
        <v>2000</v>
      </c>
      <c r="B44" s="1151">
        <v>10.4</v>
      </c>
      <c r="C44" s="1152"/>
    </row>
    <row r="45" spans="1:3" ht="12.75">
      <c r="A45" s="577">
        <v>2001</v>
      </c>
      <c r="B45" s="1151">
        <v>9.7</v>
      </c>
      <c r="C45" s="1152"/>
    </row>
    <row r="46" spans="1:4" ht="12.75">
      <c r="A46" s="577">
        <v>2002</v>
      </c>
      <c r="B46" s="1151">
        <v>9.1</v>
      </c>
      <c r="C46" s="1152"/>
      <c r="D46" s="922"/>
    </row>
    <row r="47" spans="1:3" ht="12.75">
      <c r="A47" s="577">
        <v>2003</v>
      </c>
      <c r="B47" s="1151">
        <v>9.07</v>
      </c>
      <c r="C47" s="1152"/>
    </row>
    <row r="48" spans="1:3" ht="12.75">
      <c r="A48" s="577">
        <v>2004</v>
      </c>
      <c r="B48" s="1151">
        <v>8.7</v>
      </c>
      <c r="C48" s="1152"/>
    </row>
    <row r="49" spans="1:3" ht="12.75">
      <c r="A49" s="577">
        <v>2005</v>
      </c>
      <c r="B49" s="1151">
        <v>8.4</v>
      </c>
      <c r="C49" s="1152"/>
    </row>
    <row r="50" spans="1:3" ht="12.75">
      <c r="A50" s="577">
        <v>2006</v>
      </c>
      <c r="B50" s="1151">
        <v>8.552</v>
      </c>
      <c r="C50" s="1152"/>
    </row>
    <row r="51" spans="1:3" ht="12.75">
      <c r="A51" s="577">
        <v>2007</v>
      </c>
      <c r="B51" s="1151">
        <v>8.174</v>
      </c>
      <c r="C51" s="1152"/>
    </row>
    <row r="52" spans="1:3" ht="12.75">
      <c r="A52" s="577">
        <v>2008</v>
      </c>
      <c r="B52" s="1151">
        <v>8.004</v>
      </c>
      <c r="C52" s="1152"/>
    </row>
    <row r="53" spans="1:3" ht="12.75">
      <c r="A53" s="577">
        <v>2009</v>
      </c>
      <c r="B53" s="1151">
        <v>7.85</v>
      </c>
      <c r="C53" s="1152"/>
    </row>
    <row r="54" spans="1:3" ht="12.75">
      <c r="A54" s="577">
        <v>2010</v>
      </c>
      <c r="B54" s="1151">
        <v>7.81</v>
      </c>
      <c r="C54" s="1152"/>
    </row>
    <row r="55" spans="1:3" ht="12.75">
      <c r="A55" s="577">
        <v>2011</v>
      </c>
      <c r="B55" s="1151">
        <v>7.599</v>
      </c>
      <c r="C55" s="1152"/>
    </row>
    <row r="56" spans="1:3" ht="12.75">
      <c r="A56" s="577">
        <v>2012</v>
      </c>
      <c r="B56" s="1151">
        <v>7.719</v>
      </c>
      <c r="C56" s="1152"/>
    </row>
    <row r="57" spans="1:3" ht="13.5" thickBot="1">
      <c r="A57" s="580">
        <v>2013</v>
      </c>
      <c r="B57" s="1155">
        <v>7.468</v>
      </c>
      <c r="C57" s="1156"/>
    </row>
    <row r="58" ht="12.75"/>
    <row r="59" ht="12.75"/>
    <row r="60" ht="12.75"/>
    <row r="61" ht="12.75"/>
    <row r="62" spans="16:25" ht="12.75">
      <c r="P62" s="923"/>
      <c r="Q62" s="923"/>
      <c r="R62" s="923"/>
      <c r="S62" s="923"/>
      <c r="T62" s="923"/>
      <c r="U62" s="923"/>
      <c r="V62" s="923"/>
      <c r="W62" s="923"/>
      <c r="X62" s="923"/>
      <c r="Y62" s="923"/>
    </row>
    <row r="63" spans="16:25" ht="12.75">
      <c r="P63" s="923"/>
      <c r="Q63" s="923"/>
      <c r="R63" s="923"/>
      <c r="S63" s="923"/>
      <c r="T63" s="923"/>
      <c r="U63" s="923"/>
      <c r="V63" s="923"/>
      <c r="W63" s="923"/>
      <c r="X63" s="923"/>
      <c r="Y63" s="923"/>
    </row>
    <row r="64" spans="1:25" ht="12.75">
      <c r="A64" s="930" t="s">
        <v>84</v>
      </c>
      <c r="P64" s="923"/>
      <c r="Q64" s="923"/>
      <c r="R64" s="923"/>
      <c r="S64" s="923"/>
      <c r="T64" s="923"/>
      <c r="U64" s="923"/>
      <c r="V64" s="923"/>
      <c r="W64" s="923"/>
      <c r="X64" s="923"/>
      <c r="Y64" s="923"/>
    </row>
    <row r="65" spans="16:25" ht="12.75">
      <c r="P65" s="923"/>
      <c r="Q65" s="923"/>
      <c r="R65" s="923"/>
      <c r="S65" s="923"/>
      <c r="T65" s="923"/>
      <c r="U65" s="923"/>
      <c r="V65" s="923"/>
      <c r="W65" s="923"/>
      <c r="X65" s="923"/>
      <c r="Y65" s="923"/>
    </row>
    <row r="66" spans="16:25" ht="13.5" thickBot="1">
      <c r="P66" s="923"/>
      <c r="Q66" s="923"/>
      <c r="R66" s="923"/>
      <c r="S66" s="923"/>
      <c r="T66" s="923"/>
      <c r="U66" s="923"/>
      <c r="V66" s="923"/>
      <c r="W66" s="923"/>
      <c r="X66" s="923"/>
      <c r="Y66" s="923"/>
    </row>
    <row r="67" spans="1:25" ht="39.75" customHeight="1">
      <c r="A67" s="916" t="s">
        <v>18</v>
      </c>
      <c r="B67" s="1149" t="s">
        <v>90</v>
      </c>
      <c r="C67" s="1149"/>
      <c r="D67" s="1149" t="s">
        <v>85</v>
      </c>
      <c r="E67" s="1150"/>
      <c r="P67" s="924"/>
      <c r="Q67" s="924"/>
      <c r="R67" s="924"/>
      <c r="S67" s="924"/>
      <c r="T67" s="923"/>
      <c r="U67" s="924"/>
      <c r="V67" s="924"/>
      <c r="W67" s="924"/>
      <c r="X67" s="923"/>
      <c r="Y67" s="923"/>
    </row>
    <row r="68" spans="1:25" ht="12.75" customHeight="1">
      <c r="A68" s="577"/>
      <c r="B68" s="584"/>
      <c r="C68" s="585"/>
      <c r="D68" s="586"/>
      <c r="E68" s="587"/>
      <c r="P68" s="924"/>
      <c r="Q68" s="925"/>
      <c r="R68" s="588"/>
      <c r="S68" s="588"/>
      <c r="T68" s="923"/>
      <c r="U68" s="923"/>
      <c r="V68" s="923"/>
      <c r="W68" s="923"/>
      <c r="X68" s="923"/>
      <c r="Y68" s="923"/>
    </row>
    <row r="69" spans="1:25" ht="12.75" customHeight="1">
      <c r="A69" s="577">
        <v>1995</v>
      </c>
      <c r="B69" s="1157">
        <v>2052.1</v>
      </c>
      <c r="C69" s="1158"/>
      <c r="D69" s="1159"/>
      <c r="E69" s="1160"/>
      <c r="P69" s="924"/>
      <c r="Q69" s="925"/>
      <c r="R69" s="925"/>
      <c r="S69" s="925"/>
      <c r="T69" s="923"/>
      <c r="U69" s="923"/>
      <c r="V69" s="923"/>
      <c r="W69" s="923"/>
      <c r="X69" s="923"/>
      <c r="Y69" s="923"/>
    </row>
    <row r="70" spans="1:25" ht="12.75" customHeight="1">
      <c r="A70" s="577">
        <v>1996</v>
      </c>
      <c r="B70" s="1157">
        <v>2024.93</v>
      </c>
      <c r="C70" s="1158"/>
      <c r="D70" s="1159">
        <f aca="true" t="shared" si="2" ref="D70:D79">+((B70/B69)-1)*100</f>
        <v>-1.3240095511914518</v>
      </c>
      <c r="E70" s="1160"/>
      <c r="P70" s="924"/>
      <c r="Q70" s="925"/>
      <c r="R70" s="925"/>
      <c r="S70" s="925"/>
      <c r="T70" s="923"/>
      <c r="U70" s="923"/>
      <c r="V70" s="923"/>
      <c r="W70" s="923"/>
      <c r="X70" s="923"/>
      <c r="Y70" s="923"/>
    </row>
    <row r="71" spans="1:25" ht="12.75">
      <c r="A71" s="577" t="s">
        <v>86</v>
      </c>
      <c r="B71" s="1157">
        <v>2400.9</v>
      </c>
      <c r="C71" s="1158"/>
      <c r="D71" s="1159">
        <f t="shared" si="2"/>
        <v>18.567061577437237</v>
      </c>
      <c r="E71" s="1160"/>
      <c r="P71" s="589"/>
      <c r="Q71" s="590"/>
      <c r="R71" s="590"/>
      <c r="S71" s="590"/>
      <c r="T71" s="923"/>
      <c r="U71" s="923"/>
      <c r="V71" s="923"/>
      <c r="W71" s="923"/>
      <c r="X71" s="923"/>
      <c r="Y71" s="923"/>
    </row>
    <row r="72" spans="1:25" ht="12.75">
      <c r="A72" s="577">
        <v>1998</v>
      </c>
      <c r="B72" s="1157">
        <v>2520.6</v>
      </c>
      <c r="C72" s="1158"/>
      <c r="D72" s="1159">
        <f t="shared" si="2"/>
        <v>4.985630388604267</v>
      </c>
      <c r="E72" s="1160"/>
      <c r="P72" s="589"/>
      <c r="Q72" s="590"/>
      <c r="R72" s="590"/>
      <c r="S72" s="590"/>
      <c r="T72" s="923"/>
      <c r="U72" s="923"/>
      <c r="V72" s="923"/>
      <c r="W72" s="923"/>
      <c r="X72" s="923"/>
      <c r="Y72" s="923"/>
    </row>
    <row r="73" spans="1:25" ht="12.75">
      <c r="A73" s="577">
        <v>1999</v>
      </c>
      <c r="B73" s="1157">
        <v>2580.3</v>
      </c>
      <c r="C73" s="1158"/>
      <c r="D73" s="1159">
        <f t="shared" si="2"/>
        <v>2.368483694358492</v>
      </c>
      <c r="E73" s="1160"/>
      <c r="P73" s="589"/>
      <c r="Q73" s="590"/>
      <c r="R73" s="590"/>
      <c r="S73" s="590"/>
      <c r="T73" s="923"/>
      <c r="U73" s="923"/>
      <c r="V73" s="923"/>
      <c r="W73" s="923"/>
      <c r="X73" s="923"/>
      <c r="Y73" s="923"/>
    </row>
    <row r="74" spans="1:25" ht="12.75">
      <c r="A74" s="577">
        <v>2000</v>
      </c>
      <c r="B74" s="1157">
        <v>2620.7</v>
      </c>
      <c r="C74" s="1158"/>
      <c r="D74" s="1159">
        <f t="shared" si="2"/>
        <v>1.5657094136340532</v>
      </c>
      <c r="E74" s="1160"/>
      <c r="P74" s="924"/>
      <c r="Q74" s="925"/>
      <c r="R74" s="925"/>
      <c r="S74" s="925"/>
      <c r="T74" s="923"/>
      <c r="U74" s="923"/>
      <c r="V74" s="923"/>
      <c r="W74" s="923"/>
      <c r="X74" s="923"/>
      <c r="Y74" s="923"/>
    </row>
    <row r="75" spans="1:25" ht="12.75">
      <c r="A75" s="577" t="s">
        <v>87</v>
      </c>
      <c r="B75" s="1157">
        <v>2792.22</v>
      </c>
      <c r="C75" s="1158"/>
      <c r="D75" s="1159">
        <f t="shared" si="2"/>
        <v>6.544816270462084</v>
      </c>
      <c r="E75" s="1160"/>
      <c r="P75" s="924"/>
      <c r="Q75" s="925"/>
      <c r="R75" s="925"/>
      <c r="S75" s="925"/>
      <c r="T75" s="923"/>
      <c r="U75" s="923"/>
      <c r="V75" s="923"/>
      <c r="W75" s="923"/>
      <c r="X75" s="923"/>
      <c r="Y75" s="923"/>
    </row>
    <row r="76" spans="1:25" ht="12.75">
      <c r="A76" s="577">
        <v>2002</v>
      </c>
      <c r="B76" s="1157">
        <v>2908.2</v>
      </c>
      <c r="C76" s="1158"/>
      <c r="D76" s="1159">
        <f t="shared" si="2"/>
        <v>4.15368416528783</v>
      </c>
      <c r="E76" s="1160"/>
      <c r="P76" s="924"/>
      <c r="Q76" s="925"/>
      <c r="R76" s="925"/>
      <c r="S76" s="925"/>
      <c r="T76" s="923"/>
      <c r="U76" s="923"/>
      <c r="V76" s="923"/>
      <c r="W76" s="923"/>
      <c r="X76" s="923"/>
      <c r="Y76" s="923"/>
    </row>
    <row r="77" spans="1:25" ht="12.75">
      <c r="A77" s="577">
        <v>2003</v>
      </c>
      <c r="B77" s="1157">
        <v>2964.7549</v>
      </c>
      <c r="C77" s="1158"/>
      <c r="D77" s="1159">
        <f t="shared" si="2"/>
        <v>1.944670242761859</v>
      </c>
      <c r="E77" s="1160"/>
      <c r="P77" s="924"/>
      <c r="Q77" s="925"/>
      <c r="R77" s="925"/>
      <c r="S77" s="925"/>
      <c r="T77" s="923"/>
      <c r="U77" s="923"/>
      <c r="V77" s="923"/>
      <c r="W77" s="923"/>
      <c r="X77" s="923"/>
      <c r="Y77" s="923"/>
    </row>
    <row r="78" spans="1:25" ht="12.75">
      <c r="A78" s="577">
        <v>2004</v>
      </c>
      <c r="B78" s="1157">
        <v>3130.8466199999993</v>
      </c>
      <c r="C78" s="1158"/>
      <c r="D78" s="1159">
        <f t="shared" si="2"/>
        <v>5.602207453978725</v>
      </c>
      <c r="E78" s="1160"/>
      <c r="P78" s="924"/>
      <c r="Q78" s="925"/>
      <c r="R78" s="925"/>
      <c r="S78" s="925"/>
      <c r="T78" s="923"/>
      <c r="U78" s="923"/>
      <c r="V78" s="923"/>
      <c r="W78" s="923"/>
      <c r="X78" s="923"/>
      <c r="Y78" s="923"/>
    </row>
    <row r="79" spans="1:25" ht="12.75">
      <c r="A79" s="577">
        <v>2005</v>
      </c>
      <c r="B79" s="1157">
        <v>3305.01405</v>
      </c>
      <c r="C79" s="1158"/>
      <c r="D79" s="1159">
        <f t="shared" si="2"/>
        <v>5.562949934609085</v>
      </c>
      <c r="E79" s="1160"/>
      <c r="P79" s="924"/>
      <c r="Q79" s="925"/>
      <c r="R79" s="925"/>
      <c r="S79" s="925"/>
      <c r="T79" s="923"/>
      <c r="U79" s="923"/>
      <c r="V79" s="923"/>
      <c r="W79" s="923"/>
      <c r="X79" s="923"/>
      <c r="Y79" s="923"/>
    </row>
    <row r="80" spans="1:25" ht="12.75">
      <c r="A80" s="577">
        <v>2006</v>
      </c>
      <c r="B80" s="1157">
        <v>3580</v>
      </c>
      <c r="C80" s="1158"/>
      <c r="D80" s="1159">
        <f aca="true" t="shared" si="3" ref="D80:D85">+((B80/B79)-1)*100</f>
        <v>8.320265688431782</v>
      </c>
      <c r="E80" s="1160"/>
      <c r="P80" s="924"/>
      <c r="Q80" s="925"/>
      <c r="R80" s="925"/>
      <c r="S80" s="925"/>
      <c r="T80" s="923"/>
      <c r="U80" s="923"/>
      <c r="V80" s="923"/>
      <c r="W80" s="923"/>
      <c r="X80" s="923"/>
      <c r="Y80" s="923"/>
    </row>
    <row r="81" spans="1:25" ht="12.75">
      <c r="A81" s="577">
        <v>2007</v>
      </c>
      <c r="B81" s="1157">
        <v>3965.6038100000005</v>
      </c>
      <c r="C81" s="1158"/>
      <c r="D81" s="1159">
        <f t="shared" si="3"/>
        <v>10.7710561452514</v>
      </c>
      <c r="E81" s="1160"/>
      <c r="P81" s="924"/>
      <c r="Q81" s="925"/>
      <c r="R81" s="925"/>
      <c r="S81" s="925"/>
      <c r="T81" s="923"/>
      <c r="U81" s="923"/>
      <c r="V81" s="923"/>
      <c r="W81" s="923"/>
      <c r="X81" s="923"/>
      <c r="Y81" s="923"/>
    </row>
    <row r="82" spans="1:25" ht="12.75">
      <c r="A82" s="577">
        <v>2008</v>
      </c>
      <c r="B82" s="1157">
        <v>4198.65897</v>
      </c>
      <c r="C82" s="1158"/>
      <c r="D82" s="1159">
        <f t="shared" si="3"/>
        <v>5.87691487012163</v>
      </c>
      <c r="E82" s="1160"/>
      <c r="P82" s="924"/>
      <c r="Q82" s="925"/>
      <c r="R82" s="925"/>
      <c r="S82" s="925"/>
      <c r="T82" s="923"/>
      <c r="U82" s="923"/>
      <c r="V82" s="923"/>
      <c r="W82" s="923"/>
      <c r="X82" s="923"/>
      <c r="Y82" s="923"/>
    </row>
    <row r="83" spans="1:25" ht="12.75">
      <c r="A83" s="577">
        <v>2009</v>
      </c>
      <c r="B83" s="1157">
        <v>4322.374830000001</v>
      </c>
      <c r="C83" s="1158"/>
      <c r="D83" s="1159">
        <f t="shared" si="3"/>
        <v>2.94655652873852</v>
      </c>
      <c r="E83" s="1160"/>
      <c r="P83" s="924"/>
      <c r="Q83" s="925"/>
      <c r="R83" s="925"/>
      <c r="S83" s="925"/>
      <c r="T83" s="923"/>
      <c r="U83" s="923"/>
      <c r="V83" s="923"/>
      <c r="W83" s="923"/>
      <c r="X83" s="923"/>
      <c r="Y83" s="923"/>
    </row>
    <row r="84" spans="1:25" ht="12.75">
      <c r="A84" s="577">
        <v>2010</v>
      </c>
      <c r="B84" s="1157">
        <v>4578.94312</v>
      </c>
      <c r="C84" s="1158"/>
      <c r="D84" s="1159">
        <f t="shared" si="3"/>
        <v>5.9358176949221075</v>
      </c>
      <c r="E84" s="1160"/>
      <c r="P84" s="924"/>
      <c r="Q84" s="925"/>
      <c r="R84" s="925"/>
      <c r="S84" s="925"/>
      <c r="T84" s="923"/>
      <c r="U84" s="923"/>
      <c r="V84" s="923"/>
      <c r="W84" s="923"/>
      <c r="X84" s="923"/>
      <c r="Y84" s="923"/>
    </row>
    <row r="85" spans="1:25" ht="12.75">
      <c r="A85" s="577">
        <v>2011</v>
      </c>
      <c r="B85" s="1157">
        <v>4961.19299</v>
      </c>
      <c r="C85" s="1158"/>
      <c r="D85" s="1159">
        <f t="shared" si="3"/>
        <v>8.347993412069288</v>
      </c>
      <c r="E85" s="1160"/>
      <c r="P85" s="923"/>
      <c r="Q85" s="923"/>
      <c r="R85" s="923"/>
      <c r="S85" s="923"/>
      <c r="T85" s="923"/>
      <c r="U85" s="923"/>
      <c r="V85" s="923"/>
      <c r="W85" s="923"/>
      <c r="X85" s="923"/>
      <c r="Y85" s="923"/>
    </row>
    <row r="86" spans="1:25" ht="12.75">
      <c r="A86" s="577">
        <v>2012</v>
      </c>
      <c r="B86" s="1157">
        <v>5291</v>
      </c>
      <c r="C86" s="1158"/>
      <c r="D86" s="1159">
        <f>+((B86/B85)-1)*100</f>
        <v>6.647735951106393</v>
      </c>
      <c r="E86" s="1160"/>
      <c r="P86" s="923"/>
      <c r="Q86" s="923"/>
      <c r="R86" s="923"/>
      <c r="S86" s="923"/>
      <c r="T86" s="923"/>
      <c r="U86" s="923"/>
      <c r="V86" s="923"/>
      <c r="W86" s="923"/>
      <c r="X86" s="923"/>
      <c r="Y86" s="923"/>
    </row>
    <row r="87" spans="1:25" ht="13.5" thickBot="1">
      <c r="A87" s="580">
        <v>2013</v>
      </c>
      <c r="B87" s="1153">
        <v>5575.24357</v>
      </c>
      <c r="C87" s="1154"/>
      <c r="D87" s="1142">
        <f>+((B87/B86)-1)*100</f>
        <v>5.372208845208837</v>
      </c>
      <c r="E87" s="1143"/>
      <c r="P87" s="923"/>
      <c r="Q87" s="923"/>
      <c r="R87" s="923"/>
      <c r="S87" s="923"/>
      <c r="T87" s="923"/>
      <c r="U87" s="923"/>
      <c r="V87" s="923"/>
      <c r="W87" s="923"/>
      <c r="X87" s="923"/>
      <c r="Y87" s="923"/>
    </row>
    <row r="88" spans="1:25" ht="12.75">
      <c r="A88" s="933" t="s">
        <v>280</v>
      </c>
      <c r="B88" s="593">
        <f>+(B87/B86)-1</f>
        <v>0.05372208845208837</v>
      </c>
      <c r="C88" s="594"/>
      <c r="D88" s="923"/>
      <c r="E88" s="923"/>
      <c r="P88" s="923"/>
      <c r="Q88" s="923"/>
      <c r="R88" s="923"/>
      <c r="S88" s="923"/>
      <c r="T88" s="923"/>
      <c r="U88" s="923"/>
      <c r="V88" s="923"/>
      <c r="W88" s="923"/>
      <c r="X88" s="923"/>
      <c r="Y88" s="923"/>
    </row>
    <row r="89" spans="1:25" ht="12.75">
      <c r="A89" s="934" t="s">
        <v>281</v>
      </c>
      <c r="B89" s="591">
        <f>+(B87/B82)^(1/5)-1</f>
        <v>0.058353252676575984</v>
      </c>
      <c r="C89" s="926"/>
      <c r="D89" s="923"/>
      <c r="E89" s="923"/>
      <c r="P89" s="924"/>
      <c r="Q89" s="925"/>
      <c r="R89" s="925"/>
      <c r="S89" s="925"/>
      <c r="T89" s="923"/>
      <c r="U89" s="923"/>
      <c r="V89" s="923"/>
      <c r="W89" s="923"/>
      <c r="X89" s="923"/>
      <c r="Y89" s="923"/>
    </row>
    <row r="90" spans="1:25" ht="12.75">
      <c r="A90" s="934" t="s">
        <v>282</v>
      </c>
      <c r="B90" s="591">
        <f>+(B87/B74)^(1/13)-1</f>
        <v>0.05978791870940592</v>
      </c>
      <c r="C90" s="927"/>
      <c r="D90" s="923"/>
      <c r="E90" s="923"/>
      <c r="P90" s="924"/>
      <c r="Q90" s="925"/>
      <c r="R90" s="925"/>
      <c r="S90" s="925"/>
      <c r="T90" s="923"/>
      <c r="U90" s="923"/>
      <c r="V90" s="923"/>
      <c r="W90" s="923"/>
      <c r="X90" s="923"/>
      <c r="Y90" s="923"/>
    </row>
    <row r="91" spans="1:25" ht="13.5" thickBot="1">
      <c r="A91" s="935" t="s">
        <v>256</v>
      </c>
      <c r="B91" s="592">
        <f>+(B87/B74)-1</f>
        <v>1.127387175182203</v>
      </c>
      <c r="C91" s="928"/>
      <c r="D91" s="929"/>
      <c r="E91" s="929"/>
      <c r="P91" s="924"/>
      <c r="Q91" s="925"/>
      <c r="R91" s="925"/>
      <c r="S91" s="925"/>
      <c r="T91" s="923"/>
      <c r="U91" s="923"/>
      <c r="V91" s="923"/>
      <c r="W91" s="923"/>
      <c r="X91" s="923"/>
      <c r="Y91" s="923"/>
    </row>
    <row r="92" spans="16:25" ht="12.75">
      <c r="P92" s="923"/>
      <c r="Q92" s="923"/>
      <c r="R92" s="923"/>
      <c r="S92" s="923"/>
      <c r="T92" s="923"/>
      <c r="U92" s="923"/>
      <c r="V92" s="923"/>
      <c r="W92" s="923"/>
      <c r="X92" s="923"/>
      <c r="Y92" s="923"/>
    </row>
    <row r="93" spans="1:25" ht="14.25">
      <c r="A93" s="936" t="s">
        <v>89</v>
      </c>
      <c r="P93" s="923"/>
      <c r="Q93" s="923"/>
      <c r="R93" s="923"/>
      <c r="S93" s="923"/>
      <c r="T93" s="923"/>
      <c r="U93" s="923"/>
      <c r="V93" s="923"/>
      <c r="W93" s="923"/>
      <c r="X93" s="923"/>
      <c r="Y93" s="923"/>
    </row>
    <row r="94" spans="1:25" ht="12.75">
      <c r="A94" s="917" t="s">
        <v>88</v>
      </c>
      <c r="P94" s="923"/>
      <c r="Q94" s="923"/>
      <c r="R94" s="923"/>
      <c r="S94" s="923"/>
      <c r="T94" s="923"/>
      <c r="U94" s="923"/>
      <c r="V94" s="923"/>
      <c r="W94" s="923"/>
      <c r="X94" s="923"/>
      <c r="Y94" s="923"/>
    </row>
    <row r="95" spans="16:25" ht="12.75">
      <c r="P95" s="923"/>
      <c r="Q95" s="923"/>
      <c r="R95" s="923"/>
      <c r="S95" s="923"/>
      <c r="T95" s="923"/>
      <c r="U95" s="923"/>
      <c r="V95" s="923"/>
      <c r="W95" s="923"/>
      <c r="X95" s="923"/>
      <c r="Y95" s="923"/>
    </row>
    <row r="96" ht="12.75">
      <c r="A96" s="923"/>
    </row>
  </sheetData>
  <sheetProtection/>
  <mergeCells count="62">
    <mergeCell ref="B86:C86"/>
    <mergeCell ref="D86:E86"/>
    <mergeCell ref="B85:C85"/>
    <mergeCell ref="D83:E83"/>
    <mergeCell ref="B82:C82"/>
    <mergeCell ref="D80:E80"/>
    <mergeCell ref="D84:E84"/>
    <mergeCell ref="B83:C83"/>
    <mergeCell ref="D81:E81"/>
    <mergeCell ref="B84:C84"/>
    <mergeCell ref="D82:E82"/>
    <mergeCell ref="D85:E85"/>
    <mergeCell ref="B79:C79"/>
    <mergeCell ref="D77:E77"/>
    <mergeCell ref="B80:C80"/>
    <mergeCell ref="D78:E78"/>
    <mergeCell ref="B81:C81"/>
    <mergeCell ref="D79:E79"/>
    <mergeCell ref="B76:C76"/>
    <mergeCell ref="D74:E74"/>
    <mergeCell ref="B77:C77"/>
    <mergeCell ref="D75:E75"/>
    <mergeCell ref="B78:C78"/>
    <mergeCell ref="D76:E76"/>
    <mergeCell ref="B73:C73"/>
    <mergeCell ref="D71:E71"/>
    <mergeCell ref="B74:C74"/>
    <mergeCell ref="D72:E72"/>
    <mergeCell ref="B75:C75"/>
    <mergeCell ref="D73:E73"/>
    <mergeCell ref="D67:E67"/>
    <mergeCell ref="B71:C71"/>
    <mergeCell ref="D69:E69"/>
    <mergeCell ref="B72:C72"/>
    <mergeCell ref="D70:E70"/>
    <mergeCell ref="B69:C69"/>
    <mergeCell ref="B70:C70"/>
    <mergeCell ref="B50:C50"/>
    <mergeCell ref="B51:C51"/>
    <mergeCell ref="B52:C52"/>
    <mergeCell ref="B53:C53"/>
    <mergeCell ref="B54:C54"/>
    <mergeCell ref="B67:C67"/>
    <mergeCell ref="B55:C55"/>
    <mergeCell ref="B56:C56"/>
    <mergeCell ref="B57:C57"/>
    <mergeCell ref="B44:C44"/>
    <mergeCell ref="B45:C45"/>
    <mergeCell ref="B46:C46"/>
    <mergeCell ref="B47:C47"/>
    <mergeCell ref="B48:C48"/>
    <mergeCell ref="B49:C49"/>
    <mergeCell ref="D87:E87"/>
    <mergeCell ref="A6:A7"/>
    <mergeCell ref="B6:E6"/>
    <mergeCell ref="B37:C37"/>
    <mergeCell ref="B39:C39"/>
    <mergeCell ref="B40:C40"/>
    <mergeCell ref="B41:C41"/>
    <mergeCell ref="B42:C42"/>
    <mergeCell ref="B43:C43"/>
    <mergeCell ref="B87:C87"/>
  </mergeCells>
  <printOptions/>
  <pageMargins left="0.83" right="0.36" top="1.01" bottom="0.39" header="0" footer="0"/>
  <pageSetup fitToHeight="1" fitToWidth="1" horizontalDpi="600" verticalDpi="600" orientation="portrait" paperSize="9" scale="5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BJ109"/>
  <sheetViews>
    <sheetView showGridLines="0" view="pageBreakPreview" zoomScale="70" zoomScaleNormal="7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8" sqref="A8"/>
    </sheetView>
  </sheetViews>
  <sheetFormatPr defaultColWidth="11.421875" defaultRowHeight="12.75"/>
  <cols>
    <col min="1" max="1" width="4.8515625" style="670" customWidth="1"/>
    <col min="2" max="2" width="53.28125" style="670" customWidth="1"/>
    <col min="3" max="3" width="11.00390625" style="670" customWidth="1"/>
    <col min="4" max="11" width="11.57421875" style="670" customWidth="1"/>
    <col min="12" max="13" width="11.00390625" style="670" customWidth="1"/>
    <col min="14" max="14" width="10.57421875" style="670" customWidth="1"/>
    <col min="15" max="18" width="10.28125" style="670" customWidth="1"/>
    <col min="19" max="23" width="11.00390625" style="670" customWidth="1"/>
    <col min="24" max="26" width="14.7109375" style="670" customWidth="1"/>
    <col min="27" max="27" width="14.28125" style="670" customWidth="1"/>
    <col min="28" max="31" width="11.421875" style="670" customWidth="1"/>
    <col min="32" max="32" width="23.140625" style="670" customWidth="1"/>
    <col min="33" max="16384" width="11.421875" style="670" customWidth="1"/>
  </cols>
  <sheetData>
    <row r="5" spans="1:27" ht="20.25">
      <c r="A5" s="1161" t="s">
        <v>136</v>
      </c>
      <c r="B5" s="1161"/>
      <c r="C5" s="1161"/>
      <c r="D5" s="1161"/>
      <c r="E5" s="1161"/>
      <c r="F5" s="1161"/>
      <c r="G5" s="1161"/>
      <c r="H5" s="1161"/>
      <c r="I5" s="1161"/>
      <c r="J5" s="1161"/>
      <c r="K5" s="1161"/>
      <c r="L5" s="1161"/>
      <c r="M5" s="1161"/>
      <c r="N5" s="1161"/>
      <c r="O5" s="1161"/>
      <c r="P5" s="1161"/>
      <c r="Q5" s="1161"/>
      <c r="R5" s="1161"/>
      <c r="S5" s="1161"/>
      <c r="T5" s="1161"/>
      <c r="U5" s="1161"/>
      <c r="V5" s="1161"/>
      <c r="W5" s="1161"/>
      <c r="X5" s="1161"/>
      <c r="Y5" s="1161"/>
      <c r="Z5" s="1161"/>
      <c r="AA5" s="1161"/>
    </row>
    <row r="7" spans="1:27" ht="18">
      <c r="A7" s="1162" t="s">
        <v>298</v>
      </c>
      <c r="B7" s="1162"/>
      <c r="C7" s="1162"/>
      <c r="D7" s="1162"/>
      <c r="E7" s="1162"/>
      <c r="F7" s="1162"/>
      <c r="G7" s="1162"/>
      <c r="H7" s="1162"/>
      <c r="I7" s="1162"/>
      <c r="J7" s="1162"/>
      <c r="K7" s="1162"/>
      <c r="L7" s="1162"/>
      <c r="M7" s="1162"/>
      <c r="N7" s="1162"/>
      <c r="O7" s="1162"/>
      <c r="P7" s="1162"/>
      <c r="Q7" s="1162"/>
      <c r="R7" s="1162"/>
      <c r="S7" s="1162"/>
      <c r="T7" s="1162"/>
      <c r="U7" s="1162"/>
      <c r="V7" s="1162"/>
      <c r="W7" s="1162"/>
      <c r="X7" s="1162"/>
      <c r="Y7" s="1162"/>
      <c r="Z7" s="1162"/>
      <c r="AA7" s="1162"/>
    </row>
    <row r="8" ht="13.5" thickBot="1"/>
    <row r="9" spans="1:35" s="672" customFormat="1" ht="16.5" thickBot="1">
      <c r="A9" s="937" t="s">
        <v>137</v>
      </c>
      <c r="B9" s="938" t="s">
        <v>138</v>
      </c>
      <c r="C9" s="939">
        <v>1990</v>
      </c>
      <c r="D9" s="940">
        <v>1991</v>
      </c>
      <c r="E9" s="940">
        <v>1992</v>
      </c>
      <c r="F9" s="940">
        <v>1993</v>
      </c>
      <c r="G9" s="940">
        <v>1994</v>
      </c>
      <c r="H9" s="940">
        <v>1995</v>
      </c>
      <c r="I9" s="940">
        <v>1996</v>
      </c>
      <c r="J9" s="940">
        <v>1997</v>
      </c>
      <c r="K9" s="940">
        <v>1998</v>
      </c>
      <c r="L9" s="940">
        <v>1999</v>
      </c>
      <c r="M9" s="939">
        <v>2000</v>
      </c>
      <c r="N9" s="939">
        <v>2001</v>
      </c>
      <c r="O9" s="939">
        <v>2002</v>
      </c>
      <c r="P9" s="939">
        <v>2003</v>
      </c>
      <c r="Q9" s="939">
        <v>2004</v>
      </c>
      <c r="R9" s="939">
        <v>2005</v>
      </c>
      <c r="S9" s="939">
        <v>2006</v>
      </c>
      <c r="T9" s="939">
        <v>2007</v>
      </c>
      <c r="U9" s="939">
        <v>2008</v>
      </c>
      <c r="V9" s="941">
        <v>2009</v>
      </c>
      <c r="W9" s="942">
        <v>2010</v>
      </c>
      <c r="X9" s="942">
        <v>2011</v>
      </c>
      <c r="Y9" s="943">
        <v>2012</v>
      </c>
      <c r="Z9" s="943">
        <v>2013</v>
      </c>
      <c r="AA9" s="944" t="s">
        <v>0</v>
      </c>
      <c r="AB9" s="671"/>
      <c r="AC9" s="671"/>
      <c r="AD9" s="671"/>
      <c r="AE9" s="671"/>
      <c r="AF9" s="671"/>
      <c r="AG9" s="671"/>
      <c r="AH9" s="671"/>
      <c r="AI9" s="671"/>
    </row>
    <row r="10" spans="1:35" s="655" customFormat="1" ht="14.25">
      <c r="A10" s="673">
        <v>1</v>
      </c>
      <c r="B10" s="674" t="s">
        <v>139</v>
      </c>
      <c r="C10" s="675"/>
      <c r="D10" s="675"/>
      <c r="E10" s="676"/>
      <c r="F10" s="676"/>
      <c r="G10" s="676"/>
      <c r="H10" s="676"/>
      <c r="I10" s="676"/>
      <c r="J10" s="676"/>
      <c r="K10" s="676"/>
      <c r="L10" s="676"/>
      <c r="M10" s="676"/>
      <c r="N10" s="676"/>
      <c r="O10" s="676"/>
      <c r="P10" s="676"/>
      <c r="Q10" s="676"/>
      <c r="R10" s="676"/>
      <c r="S10" s="676"/>
      <c r="T10" s="676"/>
      <c r="U10" s="676"/>
      <c r="V10" s="676"/>
      <c r="W10" s="676">
        <v>189</v>
      </c>
      <c r="X10" s="677">
        <v>96</v>
      </c>
      <c r="Y10" s="677"/>
      <c r="Z10" s="677"/>
      <c r="AA10" s="678">
        <f aca="true" t="shared" si="0" ref="AA10:AA41">SUM(C10:Z10)</f>
        <v>285</v>
      </c>
      <c r="AB10" s="679"/>
      <c r="AC10" s="680"/>
      <c r="AD10" s="680"/>
      <c r="AE10" s="680"/>
      <c r="AF10" s="680"/>
      <c r="AG10" s="680"/>
      <c r="AH10" s="680"/>
      <c r="AI10" s="680"/>
    </row>
    <row r="11" spans="1:35" s="655" customFormat="1" ht="14.25">
      <c r="A11" s="681">
        <f>+A10+1</f>
        <v>2</v>
      </c>
      <c r="B11" s="1020" t="s">
        <v>140</v>
      </c>
      <c r="C11" s="683"/>
      <c r="D11" s="683"/>
      <c r="E11" s="684"/>
      <c r="F11" s="684"/>
      <c r="G11" s="684"/>
      <c r="H11" s="684"/>
      <c r="I11" s="684"/>
      <c r="J11" s="684"/>
      <c r="K11" s="684"/>
      <c r="L11" s="684"/>
      <c r="M11" s="684"/>
      <c r="N11" s="685"/>
      <c r="O11" s="685"/>
      <c r="P11" s="685"/>
      <c r="Q11" s="685"/>
      <c r="R11" s="685"/>
      <c r="S11" s="685"/>
      <c r="T11" s="685">
        <v>364</v>
      </c>
      <c r="U11" s="685">
        <v>10952</v>
      </c>
      <c r="V11" s="685">
        <v>13012</v>
      </c>
      <c r="W11" s="685">
        <v>5393</v>
      </c>
      <c r="X11" s="685">
        <v>1075</v>
      </c>
      <c r="Y11" s="685">
        <v>166</v>
      </c>
      <c r="Z11" s="685"/>
      <c r="AA11" s="687">
        <f t="shared" si="0"/>
        <v>30962</v>
      </c>
      <c r="AB11" s="679"/>
      <c r="AC11" s="680"/>
      <c r="AD11" s="680"/>
      <c r="AE11" s="680"/>
      <c r="AF11" s="680"/>
      <c r="AG11" s="680"/>
      <c r="AH11" s="680"/>
      <c r="AI11" s="680"/>
    </row>
    <row r="12" spans="1:35" s="655" customFormat="1" ht="14.25">
      <c r="A12" s="681">
        <f aca="true" t="shared" si="1" ref="A12:A17">+A11+1</f>
        <v>3</v>
      </c>
      <c r="B12" s="1020" t="s">
        <v>239</v>
      </c>
      <c r="C12" s="683"/>
      <c r="D12" s="683"/>
      <c r="E12" s="684"/>
      <c r="F12" s="684"/>
      <c r="G12" s="684"/>
      <c r="H12" s="684"/>
      <c r="I12" s="684"/>
      <c r="J12" s="684"/>
      <c r="K12" s="684"/>
      <c r="L12" s="684"/>
      <c r="M12" s="684"/>
      <c r="N12" s="685"/>
      <c r="O12" s="685"/>
      <c r="P12" s="685"/>
      <c r="Q12" s="685"/>
      <c r="R12" s="685"/>
      <c r="S12" s="685"/>
      <c r="T12" s="685"/>
      <c r="U12" s="685"/>
      <c r="V12" s="685"/>
      <c r="W12" s="685"/>
      <c r="X12" s="685"/>
      <c r="Y12" s="685">
        <v>2395</v>
      </c>
      <c r="Z12" s="685">
        <v>933</v>
      </c>
      <c r="AA12" s="687">
        <f t="shared" si="0"/>
        <v>3328</v>
      </c>
      <c r="AB12" s="679"/>
      <c r="AC12" s="680"/>
      <c r="AD12" s="680"/>
      <c r="AE12" s="680"/>
      <c r="AF12" s="680"/>
      <c r="AG12" s="680"/>
      <c r="AH12" s="680"/>
      <c r="AI12" s="680"/>
    </row>
    <row r="13" spans="1:35" s="655" customFormat="1" ht="14.25">
      <c r="A13" s="681">
        <f t="shared" si="1"/>
        <v>4</v>
      </c>
      <c r="B13" s="1020" t="s">
        <v>240</v>
      </c>
      <c r="C13" s="683"/>
      <c r="D13" s="683"/>
      <c r="E13" s="684"/>
      <c r="F13" s="684"/>
      <c r="G13" s="684"/>
      <c r="H13" s="684"/>
      <c r="I13" s="684"/>
      <c r="J13" s="684"/>
      <c r="K13" s="684"/>
      <c r="L13" s="684"/>
      <c r="M13" s="684"/>
      <c r="N13" s="685"/>
      <c r="O13" s="685"/>
      <c r="P13" s="685"/>
      <c r="Q13" s="685"/>
      <c r="R13" s="685"/>
      <c r="S13" s="685"/>
      <c r="T13" s="685"/>
      <c r="U13" s="685"/>
      <c r="V13" s="685"/>
      <c r="W13" s="685"/>
      <c r="X13" s="685"/>
      <c r="Y13" s="685">
        <v>200</v>
      </c>
      <c r="Z13" s="685"/>
      <c r="AA13" s="687">
        <f t="shared" si="0"/>
        <v>200</v>
      </c>
      <c r="AB13" s="679"/>
      <c r="AC13" s="680"/>
      <c r="AD13" s="680"/>
      <c r="AE13" s="680"/>
      <c r="AF13" s="680"/>
      <c r="AG13" s="680"/>
      <c r="AH13" s="680"/>
      <c r="AI13" s="680"/>
    </row>
    <row r="14" spans="1:35" s="655" customFormat="1" ht="14.25">
      <c r="A14" s="681">
        <f t="shared" si="1"/>
        <v>5</v>
      </c>
      <c r="B14" s="1020" t="s">
        <v>141</v>
      </c>
      <c r="C14" s="1022"/>
      <c r="D14" s="688"/>
      <c r="E14" s="685"/>
      <c r="F14" s="685"/>
      <c r="G14" s="685"/>
      <c r="H14" s="685"/>
      <c r="I14" s="685"/>
      <c r="J14" s="685">
        <v>2400</v>
      </c>
      <c r="K14" s="685">
        <v>3900</v>
      </c>
      <c r="L14" s="685">
        <v>3300</v>
      </c>
      <c r="M14" s="685">
        <v>37300</v>
      </c>
      <c r="N14" s="685">
        <v>597</v>
      </c>
      <c r="O14" s="685"/>
      <c r="P14" s="685"/>
      <c r="Q14" s="685"/>
      <c r="R14" s="685"/>
      <c r="S14" s="685"/>
      <c r="T14" s="685"/>
      <c r="U14" s="685"/>
      <c r="V14" s="685"/>
      <c r="W14" s="685"/>
      <c r="X14" s="685"/>
      <c r="Y14" s="1023" t="s">
        <v>91</v>
      </c>
      <c r="Z14" s="1023" t="s">
        <v>91</v>
      </c>
      <c r="AA14" s="687">
        <f t="shared" si="0"/>
        <v>47497</v>
      </c>
      <c r="AB14" s="689"/>
      <c r="AC14" s="690"/>
      <c r="AD14" s="690"/>
      <c r="AE14" s="690"/>
      <c r="AF14" s="689"/>
      <c r="AG14" s="690"/>
      <c r="AH14" s="690"/>
      <c r="AI14" s="690"/>
    </row>
    <row r="15" spans="1:35" s="655" customFormat="1" ht="13.5" customHeight="1">
      <c r="A15" s="681">
        <f t="shared" si="1"/>
        <v>6</v>
      </c>
      <c r="B15" s="1020" t="s">
        <v>142</v>
      </c>
      <c r="C15" s="688"/>
      <c r="D15" s="688"/>
      <c r="E15" s="685"/>
      <c r="F15" s="685"/>
      <c r="G15" s="685"/>
      <c r="H15" s="685"/>
      <c r="I15" s="685"/>
      <c r="J15" s="685">
        <v>24000</v>
      </c>
      <c r="K15" s="682"/>
      <c r="L15" s="685">
        <v>6147</v>
      </c>
      <c r="M15" s="685">
        <v>25</v>
      </c>
      <c r="N15" s="685">
        <v>24</v>
      </c>
      <c r="O15" s="685"/>
      <c r="P15" s="685"/>
      <c r="Q15" s="685"/>
      <c r="R15" s="685"/>
      <c r="S15" s="685"/>
      <c r="T15" s="685"/>
      <c r="U15" s="685"/>
      <c r="V15" s="685"/>
      <c r="W15" s="685"/>
      <c r="X15" s="685"/>
      <c r="Y15" s="685"/>
      <c r="Z15" s="685"/>
      <c r="AA15" s="687">
        <f t="shared" si="0"/>
        <v>30196</v>
      </c>
      <c r="AB15" s="689"/>
      <c r="AC15" s="690"/>
      <c r="AD15" s="690"/>
      <c r="AE15" s="690"/>
      <c r="AF15" s="689"/>
      <c r="AG15" s="690"/>
      <c r="AH15" s="690"/>
      <c r="AI15" s="690"/>
    </row>
    <row r="16" spans="1:35" s="655" customFormat="1" ht="14.25">
      <c r="A16" s="681">
        <f t="shared" si="1"/>
        <v>7</v>
      </c>
      <c r="B16" s="1020" t="s">
        <v>241</v>
      </c>
      <c r="C16" s="688"/>
      <c r="D16" s="683"/>
      <c r="E16" s="684"/>
      <c r="F16" s="684"/>
      <c r="G16" s="684"/>
      <c r="H16" s="684"/>
      <c r="I16" s="684"/>
      <c r="J16" s="684"/>
      <c r="K16" s="684"/>
      <c r="L16" s="684"/>
      <c r="M16" s="684"/>
      <c r="N16" s="685"/>
      <c r="O16" s="685"/>
      <c r="P16" s="685"/>
      <c r="Q16" s="685"/>
      <c r="R16" s="685"/>
      <c r="S16" s="685"/>
      <c r="T16" s="685"/>
      <c r="U16" s="685"/>
      <c r="V16" s="685">
        <v>876</v>
      </c>
      <c r="W16" s="685">
        <v>285</v>
      </c>
      <c r="X16" s="685">
        <v>127.7</v>
      </c>
      <c r="Y16" s="685">
        <v>477</v>
      </c>
      <c r="Z16" s="685">
        <v>15</v>
      </c>
      <c r="AA16" s="687">
        <f t="shared" si="0"/>
        <v>1780.7</v>
      </c>
      <c r="AB16" s="689"/>
      <c r="AC16" s="690"/>
      <c r="AD16" s="690"/>
      <c r="AE16" s="690"/>
      <c r="AF16" s="689"/>
      <c r="AG16" s="691"/>
      <c r="AH16" s="690"/>
      <c r="AI16" s="690"/>
    </row>
    <row r="17" spans="1:35" s="655" customFormat="1" ht="14.25">
      <c r="A17" s="681">
        <f t="shared" si="1"/>
        <v>8</v>
      </c>
      <c r="B17" s="1020" t="s">
        <v>242</v>
      </c>
      <c r="C17" s="688"/>
      <c r="D17" s="683"/>
      <c r="E17" s="684"/>
      <c r="F17" s="684"/>
      <c r="G17" s="684"/>
      <c r="H17" s="684"/>
      <c r="I17" s="684"/>
      <c r="J17" s="684"/>
      <c r="K17" s="684"/>
      <c r="L17" s="684"/>
      <c r="M17" s="684"/>
      <c r="N17" s="685"/>
      <c r="O17" s="685"/>
      <c r="P17" s="685"/>
      <c r="Q17" s="685"/>
      <c r="R17" s="685"/>
      <c r="S17" s="685"/>
      <c r="T17" s="685"/>
      <c r="U17" s="685"/>
      <c r="V17" s="685"/>
      <c r="W17" s="685"/>
      <c r="X17" s="685"/>
      <c r="Y17" s="685"/>
      <c r="Z17" s="685"/>
      <c r="AA17" s="687">
        <f t="shared" si="0"/>
        <v>0</v>
      </c>
      <c r="AB17" s="689"/>
      <c r="AC17" s="690"/>
      <c r="AD17" s="690"/>
      <c r="AE17" s="690"/>
      <c r="AF17" s="689"/>
      <c r="AG17" s="691"/>
      <c r="AH17" s="690"/>
      <c r="AI17" s="690"/>
    </row>
    <row r="18" spans="1:35" s="655" customFormat="1" ht="14.25">
      <c r="A18" s="681">
        <f>+A17+1</f>
        <v>9</v>
      </c>
      <c r="B18" s="1020" t="s">
        <v>285</v>
      </c>
      <c r="C18" s="688"/>
      <c r="D18" s="683"/>
      <c r="E18" s="684"/>
      <c r="F18" s="684"/>
      <c r="G18" s="684"/>
      <c r="H18" s="684"/>
      <c r="I18" s="684"/>
      <c r="J18" s="684"/>
      <c r="K18" s="684"/>
      <c r="L18" s="684"/>
      <c r="M18" s="684"/>
      <c r="N18" s="685"/>
      <c r="O18" s="685"/>
      <c r="P18" s="685"/>
      <c r="Q18" s="685"/>
      <c r="R18" s="685"/>
      <c r="S18" s="685"/>
      <c r="T18" s="685"/>
      <c r="U18" s="685"/>
      <c r="V18" s="685"/>
      <c r="W18" s="685"/>
      <c r="X18" s="685"/>
      <c r="Y18" s="685"/>
      <c r="Z18" s="685">
        <v>419108</v>
      </c>
      <c r="AA18" s="687">
        <f t="shared" si="0"/>
        <v>419108</v>
      </c>
      <c r="AB18" s="689"/>
      <c r="AC18" s="690"/>
      <c r="AD18" s="690"/>
      <c r="AE18" s="690"/>
      <c r="AF18" s="689"/>
      <c r="AG18" s="691"/>
      <c r="AH18" s="690"/>
      <c r="AI18" s="690"/>
    </row>
    <row r="19" spans="1:35" s="655" customFormat="1" ht="14.25">
      <c r="A19" s="681">
        <f aca="true" t="shared" si="2" ref="A19:A40">+A18+1</f>
        <v>10</v>
      </c>
      <c r="B19" s="1020" t="s">
        <v>284</v>
      </c>
      <c r="C19" s="683"/>
      <c r="D19" s="688"/>
      <c r="E19" s="685"/>
      <c r="F19" s="685"/>
      <c r="G19" s="685"/>
      <c r="H19" s="685"/>
      <c r="I19" s="685"/>
      <c r="J19" s="685"/>
      <c r="K19" s="685"/>
      <c r="L19" s="685"/>
      <c r="M19" s="685"/>
      <c r="N19" s="685"/>
      <c r="O19" s="685"/>
      <c r="P19" s="685"/>
      <c r="Q19" s="685"/>
      <c r="R19" s="685"/>
      <c r="S19" s="685"/>
      <c r="T19" s="685"/>
      <c r="U19" s="685"/>
      <c r="V19" s="685">
        <v>668</v>
      </c>
      <c r="W19" s="685">
        <v>999</v>
      </c>
      <c r="X19" s="685">
        <v>1455.5</v>
      </c>
      <c r="Y19" s="685">
        <v>673.3</v>
      </c>
      <c r="Z19" s="685">
        <v>1809.8</v>
      </c>
      <c r="AA19" s="687">
        <f t="shared" si="0"/>
        <v>5605.6</v>
      </c>
      <c r="AB19" s="689"/>
      <c r="AC19" s="690"/>
      <c r="AD19" s="690"/>
      <c r="AE19" s="690"/>
      <c r="AF19" s="689"/>
      <c r="AG19" s="691"/>
      <c r="AH19" s="690"/>
      <c r="AI19" s="690"/>
    </row>
    <row r="20" spans="1:35" s="655" customFormat="1" ht="14.25">
      <c r="A20" s="681">
        <f t="shared" si="2"/>
        <v>11</v>
      </c>
      <c r="B20" s="1020" t="s">
        <v>143</v>
      </c>
      <c r="C20" s="688"/>
      <c r="D20" s="688"/>
      <c r="E20" s="685"/>
      <c r="F20" s="685"/>
      <c r="G20" s="685"/>
      <c r="H20" s="685"/>
      <c r="I20" s="685"/>
      <c r="J20" s="685"/>
      <c r="K20" s="682"/>
      <c r="L20" s="685"/>
      <c r="M20" s="685"/>
      <c r="N20" s="685"/>
      <c r="O20" s="685"/>
      <c r="P20" s="685"/>
      <c r="Q20" s="685"/>
      <c r="R20" s="685"/>
      <c r="S20" s="685">
        <v>21912</v>
      </c>
      <c r="T20" s="685">
        <v>87705</v>
      </c>
      <c r="U20" s="685">
        <v>114259</v>
      </c>
      <c r="V20" s="685">
        <v>52970</v>
      </c>
      <c r="W20" s="685">
        <v>5176</v>
      </c>
      <c r="X20" s="685">
        <v>1669</v>
      </c>
      <c r="Y20" s="685">
        <v>4709</v>
      </c>
      <c r="Z20" s="685"/>
      <c r="AA20" s="687">
        <f t="shared" si="0"/>
        <v>288400</v>
      </c>
      <c r="AB20" s="689"/>
      <c r="AC20" s="690"/>
      <c r="AD20" s="690"/>
      <c r="AE20" s="690"/>
      <c r="AF20" s="689"/>
      <c r="AG20" s="691"/>
      <c r="AH20" s="690"/>
      <c r="AI20" s="690"/>
    </row>
    <row r="21" spans="1:35" s="655" customFormat="1" ht="14.25">
      <c r="A21" s="681">
        <f t="shared" si="2"/>
        <v>12</v>
      </c>
      <c r="B21" s="1020" t="s">
        <v>286</v>
      </c>
      <c r="C21" s="688"/>
      <c r="D21" s="688"/>
      <c r="E21" s="685"/>
      <c r="F21" s="685"/>
      <c r="G21" s="685"/>
      <c r="H21" s="685"/>
      <c r="I21" s="685"/>
      <c r="J21" s="685"/>
      <c r="K21" s="685"/>
      <c r="L21" s="685"/>
      <c r="M21" s="685"/>
      <c r="N21" s="685"/>
      <c r="O21" s="685"/>
      <c r="P21" s="685"/>
      <c r="Q21" s="685"/>
      <c r="R21" s="685"/>
      <c r="S21" s="685"/>
      <c r="T21" s="685"/>
      <c r="U21" s="685"/>
      <c r="V21" s="685">
        <v>800</v>
      </c>
      <c r="W21" s="685">
        <v>950</v>
      </c>
      <c r="X21" s="685">
        <v>1500</v>
      </c>
      <c r="Y21" s="685">
        <v>200</v>
      </c>
      <c r="Z21" s="685">
        <v>350</v>
      </c>
      <c r="AA21" s="687">
        <f t="shared" si="0"/>
        <v>3800</v>
      </c>
      <c r="AB21" s="689"/>
      <c r="AC21" s="690"/>
      <c r="AD21" s="690"/>
      <c r="AE21" s="690"/>
      <c r="AF21" s="689"/>
      <c r="AG21" s="691"/>
      <c r="AH21" s="690"/>
      <c r="AI21" s="690"/>
    </row>
    <row r="22" spans="1:35" s="655" customFormat="1" ht="14.25">
      <c r="A22" s="681">
        <f t="shared" si="2"/>
        <v>13</v>
      </c>
      <c r="B22" s="1020" t="s">
        <v>144</v>
      </c>
      <c r="C22" s="688"/>
      <c r="D22" s="688"/>
      <c r="E22" s="685"/>
      <c r="F22" s="685"/>
      <c r="G22" s="685"/>
      <c r="H22" s="685"/>
      <c r="I22" s="685">
        <f>521</f>
        <v>521</v>
      </c>
      <c r="J22" s="685">
        <v>19214</v>
      </c>
      <c r="K22" s="685">
        <v>42870</v>
      </c>
      <c r="L22" s="685">
        <v>37036</v>
      </c>
      <c r="M22" s="685">
        <v>26544</v>
      </c>
      <c r="N22" s="685">
        <v>12531</v>
      </c>
      <c r="O22" s="685">
        <v>5340</v>
      </c>
      <c r="P22" s="685">
        <v>2585</v>
      </c>
      <c r="Q22" s="685">
        <v>3537</v>
      </c>
      <c r="R22" s="685">
        <v>2885</v>
      </c>
      <c r="S22" s="685">
        <v>3945</v>
      </c>
      <c r="T22" s="685">
        <v>10410</v>
      </c>
      <c r="U22" s="685">
        <v>50137</v>
      </c>
      <c r="V22" s="685">
        <v>59756</v>
      </c>
      <c r="W22" s="685">
        <v>14857</v>
      </c>
      <c r="X22" s="685">
        <v>2327</v>
      </c>
      <c r="Y22" s="685">
        <v>4851</v>
      </c>
      <c r="Z22" s="685">
        <v>5951</v>
      </c>
      <c r="AA22" s="687">
        <f t="shared" si="0"/>
        <v>305297</v>
      </c>
      <c r="AB22" s="689"/>
      <c r="AC22" s="690"/>
      <c r="AD22" s="690"/>
      <c r="AE22" s="690"/>
      <c r="AF22" s="689"/>
      <c r="AG22" s="691"/>
      <c r="AH22" s="690"/>
      <c r="AI22" s="690"/>
    </row>
    <row r="23" spans="1:35" s="655" customFormat="1" ht="14.25">
      <c r="A23" s="681">
        <f t="shared" si="2"/>
        <v>14</v>
      </c>
      <c r="B23" s="1020" t="s">
        <v>243</v>
      </c>
      <c r="C23" s="688"/>
      <c r="D23" s="688"/>
      <c r="E23" s="685"/>
      <c r="F23" s="685"/>
      <c r="G23" s="685"/>
      <c r="H23" s="685"/>
      <c r="I23" s="685"/>
      <c r="J23" s="685"/>
      <c r="K23" s="685"/>
      <c r="L23" s="685"/>
      <c r="M23" s="685"/>
      <c r="N23" s="685"/>
      <c r="O23" s="685"/>
      <c r="P23" s="685"/>
      <c r="Q23" s="685"/>
      <c r="R23" s="685"/>
      <c r="S23" s="685"/>
      <c r="T23" s="685"/>
      <c r="U23" s="685"/>
      <c r="V23" s="685"/>
      <c r="W23" s="685"/>
      <c r="X23" s="685"/>
      <c r="Y23" s="685">
        <v>58</v>
      </c>
      <c r="Z23" s="685"/>
      <c r="AA23" s="687">
        <f t="shared" si="0"/>
        <v>58</v>
      </c>
      <c r="AB23" s="689"/>
      <c r="AC23" s="690"/>
      <c r="AD23" s="690"/>
      <c r="AE23" s="690"/>
      <c r="AF23" s="689"/>
      <c r="AG23" s="691"/>
      <c r="AH23" s="690"/>
      <c r="AI23" s="690"/>
    </row>
    <row r="24" spans="1:35" s="655" customFormat="1" ht="14.25">
      <c r="A24" s="681">
        <f t="shared" si="2"/>
        <v>15</v>
      </c>
      <c r="B24" s="1020" t="s">
        <v>145</v>
      </c>
      <c r="C24" s="688"/>
      <c r="D24" s="688"/>
      <c r="E24" s="685"/>
      <c r="F24" s="685"/>
      <c r="G24" s="685">
        <v>31478.89</v>
      </c>
      <c r="H24" s="685">
        <f>7634.63</f>
        <v>7634.63</v>
      </c>
      <c r="I24" s="685">
        <f>58480.46</f>
        <v>58480.46</v>
      </c>
      <c r="J24" s="685">
        <v>113616.85</v>
      </c>
      <c r="K24" s="685">
        <v>96149.62</v>
      </c>
      <c r="L24" s="685">
        <v>119312.06</v>
      </c>
      <c r="M24" s="685">
        <v>48150</v>
      </c>
      <c r="N24" s="685">
        <v>111</v>
      </c>
      <c r="O24" s="685">
        <v>4915</v>
      </c>
      <c r="P24" s="685">
        <v>5278</v>
      </c>
      <c r="Q24" s="685">
        <v>11866</v>
      </c>
      <c r="R24" s="685">
        <v>24818</v>
      </c>
      <c r="S24" s="685">
        <v>94821</v>
      </c>
      <c r="T24" s="685">
        <v>23375</v>
      </c>
      <c r="U24" s="685">
        <v>79556</v>
      </c>
      <c r="V24" s="685">
        <v>60499</v>
      </c>
      <c r="W24" s="685">
        <v>29495</v>
      </c>
      <c r="X24" s="685">
        <v>30762</v>
      </c>
      <c r="Y24" s="685">
        <v>61938</v>
      </c>
      <c r="Z24" s="685">
        <v>71594</v>
      </c>
      <c r="AA24" s="687">
        <f t="shared" si="0"/>
        <v>973850.51</v>
      </c>
      <c r="AB24" s="689"/>
      <c r="AC24" s="689"/>
      <c r="AD24" s="689"/>
      <c r="AE24" s="689"/>
      <c r="AF24" s="689"/>
      <c r="AG24" s="691"/>
      <c r="AH24" s="690"/>
      <c r="AI24" s="690"/>
    </row>
    <row r="25" spans="1:35" s="655" customFormat="1" ht="14.25">
      <c r="A25" s="681">
        <f t="shared" si="2"/>
        <v>16</v>
      </c>
      <c r="B25" s="1020" t="s">
        <v>244</v>
      </c>
      <c r="C25" s="688"/>
      <c r="D25" s="688"/>
      <c r="E25" s="685"/>
      <c r="F25" s="685"/>
      <c r="G25" s="685"/>
      <c r="H25" s="685"/>
      <c r="I25" s="685"/>
      <c r="J25" s="685"/>
      <c r="K25" s="685"/>
      <c r="L25" s="685"/>
      <c r="M25" s="685"/>
      <c r="N25" s="685"/>
      <c r="O25" s="685"/>
      <c r="P25" s="685"/>
      <c r="Q25" s="685"/>
      <c r="R25" s="685"/>
      <c r="S25" s="685"/>
      <c r="T25" s="685"/>
      <c r="U25" s="685"/>
      <c r="V25" s="685"/>
      <c r="W25" s="685"/>
      <c r="X25" s="685"/>
      <c r="Y25" s="685">
        <v>25696</v>
      </c>
      <c r="Z25" s="685">
        <v>8895</v>
      </c>
      <c r="AA25" s="687">
        <f t="shared" si="0"/>
        <v>34591</v>
      </c>
      <c r="AB25" s="689"/>
      <c r="AC25" s="689"/>
      <c r="AD25" s="689"/>
      <c r="AE25" s="689"/>
      <c r="AF25" s="689"/>
      <c r="AG25" s="691"/>
      <c r="AH25" s="690"/>
      <c r="AI25" s="690"/>
    </row>
    <row r="26" spans="1:35" s="655" customFormat="1" ht="14.25">
      <c r="A26" s="681">
        <f t="shared" si="2"/>
        <v>17</v>
      </c>
      <c r="B26" s="1020" t="s">
        <v>245</v>
      </c>
      <c r="C26" s="688"/>
      <c r="D26" s="688"/>
      <c r="E26" s="685"/>
      <c r="F26" s="685"/>
      <c r="G26" s="685"/>
      <c r="H26" s="685"/>
      <c r="I26" s="685"/>
      <c r="J26" s="685"/>
      <c r="K26" s="685"/>
      <c r="L26" s="685"/>
      <c r="M26" s="685"/>
      <c r="N26" s="685"/>
      <c r="O26" s="685"/>
      <c r="P26" s="685"/>
      <c r="Q26" s="685"/>
      <c r="R26" s="685"/>
      <c r="S26" s="685"/>
      <c r="T26" s="685"/>
      <c r="U26" s="685"/>
      <c r="V26" s="685"/>
      <c r="W26" s="685">
        <v>1349</v>
      </c>
      <c r="X26" s="685">
        <v>96442</v>
      </c>
      <c r="Y26" s="685">
        <v>750</v>
      </c>
      <c r="Z26" s="685"/>
      <c r="AA26" s="687">
        <f t="shared" si="0"/>
        <v>98541</v>
      </c>
      <c r="AB26" s="689"/>
      <c r="AC26" s="689"/>
      <c r="AD26" s="689"/>
      <c r="AE26" s="689"/>
      <c r="AF26" s="689"/>
      <c r="AG26" s="691"/>
      <c r="AH26" s="690"/>
      <c r="AI26" s="690"/>
    </row>
    <row r="27" spans="1:35" s="655" customFormat="1" ht="14.25">
      <c r="A27" s="681">
        <f t="shared" si="2"/>
        <v>18</v>
      </c>
      <c r="B27" s="1020" t="s">
        <v>146</v>
      </c>
      <c r="C27" s="688"/>
      <c r="D27" s="688"/>
      <c r="E27" s="685"/>
      <c r="F27" s="685"/>
      <c r="G27" s="685"/>
      <c r="H27" s="685"/>
      <c r="I27" s="685"/>
      <c r="J27" s="685"/>
      <c r="K27" s="685"/>
      <c r="L27" s="685"/>
      <c r="M27" s="685"/>
      <c r="N27" s="685"/>
      <c r="O27" s="685"/>
      <c r="P27" s="685"/>
      <c r="Q27" s="685"/>
      <c r="R27" s="685"/>
      <c r="S27" s="685"/>
      <c r="T27" s="685">
        <v>1873</v>
      </c>
      <c r="U27" s="685">
        <v>2389</v>
      </c>
      <c r="V27" s="685">
        <v>1062</v>
      </c>
      <c r="W27" s="685">
        <v>744</v>
      </c>
      <c r="X27" s="685">
        <v>13714</v>
      </c>
      <c r="Y27" s="685">
        <v>2451</v>
      </c>
      <c r="Z27" s="685"/>
      <c r="AA27" s="687">
        <f t="shared" si="0"/>
        <v>22233</v>
      </c>
      <c r="AB27" s="689"/>
      <c r="AC27" s="689"/>
      <c r="AD27" s="689"/>
      <c r="AE27" s="690"/>
      <c r="AF27" s="690"/>
      <c r="AG27" s="691"/>
      <c r="AH27" s="690"/>
      <c r="AI27" s="690"/>
    </row>
    <row r="28" spans="1:35" s="655" customFormat="1" ht="14.25">
      <c r="A28" s="681">
        <f t="shared" si="2"/>
        <v>19</v>
      </c>
      <c r="B28" s="1020" t="s">
        <v>147</v>
      </c>
      <c r="C28" s="688"/>
      <c r="D28" s="688"/>
      <c r="E28" s="685"/>
      <c r="F28" s="685"/>
      <c r="G28" s="685"/>
      <c r="H28" s="685"/>
      <c r="I28" s="685"/>
      <c r="J28" s="682"/>
      <c r="K28" s="682">
        <v>160</v>
      </c>
      <c r="L28" s="682">
        <v>352</v>
      </c>
      <c r="M28" s="685">
        <v>1255</v>
      </c>
      <c r="N28" s="685">
        <v>50.1</v>
      </c>
      <c r="O28" s="685"/>
      <c r="P28" s="685"/>
      <c r="Q28" s="685"/>
      <c r="R28" s="685"/>
      <c r="S28" s="685"/>
      <c r="T28" s="685"/>
      <c r="U28" s="685"/>
      <c r="V28" s="685"/>
      <c r="W28" s="685"/>
      <c r="X28" s="685"/>
      <c r="Y28" s="685"/>
      <c r="Z28" s="685"/>
      <c r="AA28" s="687">
        <f t="shared" si="0"/>
        <v>1817.1</v>
      </c>
      <c r="AB28" s="689"/>
      <c r="AC28" s="689"/>
      <c r="AD28" s="689"/>
      <c r="AE28" s="690"/>
      <c r="AF28" s="690"/>
      <c r="AG28" s="691"/>
      <c r="AH28" s="690"/>
      <c r="AI28" s="690"/>
    </row>
    <row r="29" spans="1:35" s="655" customFormat="1" ht="14.25">
      <c r="A29" s="681">
        <f t="shared" si="2"/>
        <v>20</v>
      </c>
      <c r="B29" s="1020" t="s">
        <v>291</v>
      </c>
      <c r="C29" s="688"/>
      <c r="D29" s="688"/>
      <c r="E29" s="685"/>
      <c r="F29" s="685"/>
      <c r="G29" s="685"/>
      <c r="H29" s="685"/>
      <c r="I29" s="685">
        <v>50</v>
      </c>
      <c r="J29" s="682">
        <v>196</v>
      </c>
      <c r="K29" s="682">
        <v>281</v>
      </c>
      <c r="L29" s="685">
        <v>104</v>
      </c>
      <c r="M29" s="685">
        <v>388</v>
      </c>
      <c r="N29" s="685">
        <v>0</v>
      </c>
      <c r="O29" s="685"/>
      <c r="P29" s="685"/>
      <c r="Q29" s="685"/>
      <c r="R29" s="685"/>
      <c r="S29" s="685">
        <v>597</v>
      </c>
      <c r="T29" s="685">
        <v>71</v>
      </c>
      <c r="U29" s="685">
        <v>2690</v>
      </c>
      <c r="V29" s="685">
        <v>851</v>
      </c>
      <c r="W29" s="1023" t="s">
        <v>91</v>
      </c>
      <c r="X29" s="1023" t="s">
        <v>91</v>
      </c>
      <c r="Y29" s="1023" t="s">
        <v>91</v>
      </c>
      <c r="Z29" s="1023" t="s">
        <v>91</v>
      </c>
      <c r="AA29" s="687">
        <f t="shared" si="0"/>
        <v>5228</v>
      </c>
      <c r="AB29" s="689"/>
      <c r="AC29" s="689"/>
      <c r="AD29" s="689"/>
      <c r="AE29" s="690"/>
      <c r="AF29" s="690"/>
      <c r="AG29" s="691"/>
      <c r="AH29" s="690"/>
      <c r="AI29" s="690"/>
    </row>
    <row r="30" spans="1:35" s="655" customFormat="1" ht="14.25">
      <c r="A30" s="681">
        <f t="shared" si="2"/>
        <v>21</v>
      </c>
      <c r="B30" s="1020" t="s">
        <v>148</v>
      </c>
      <c r="C30" s="688"/>
      <c r="D30" s="688"/>
      <c r="E30" s="685"/>
      <c r="F30" s="685"/>
      <c r="G30" s="685"/>
      <c r="H30" s="685"/>
      <c r="I30" s="685"/>
      <c r="J30" s="682"/>
      <c r="K30" s="682"/>
      <c r="L30" s="685"/>
      <c r="M30" s="685"/>
      <c r="N30" s="685"/>
      <c r="O30" s="685"/>
      <c r="P30" s="685"/>
      <c r="Q30" s="685"/>
      <c r="R30" s="685"/>
      <c r="S30" s="685">
        <v>630</v>
      </c>
      <c r="T30" s="685"/>
      <c r="U30" s="685">
        <v>3331</v>
      </c>
      <c r="V30" s="685">
        <v>1593</v>
      </c>
      <c r="W30" s="685">
        <v>24698</v>
      </c>
      <c r="X30" s="685">
        <v>150365</v>
      </c>
      <c r="Y30" s="685">
        <v>127994</v>
      </c>
      <c r="Z30" s="685">
        <v>159724</v>
      </c>
      <c r="AA30" s="687">
        <f t="shared" si="0"/>
        <v>468335</v>
      </c>
      <c r="AB30" s="689"/>
      <c r="AC30" s="689"/>
      <c r="AD30" s="689"/>
      <c r="AE30" s="690"/>
      <c r="AF30" s="690"/>
      <c r="AG30" s="691"/>
      <c r="AH30" s="690"/>
      <c r="AI30" s="690"/>
    </row>
    <row r="31" spans="1:35" s="655" customFormat="1" ht="14.25">
      <c r="A31" s="681">
        <f t="shared" si="2"/>
        <v>22</v>
      </c>
      <c r="B31" s="1020" t="s">
        <v>287</v>
      </c>
      <c r="C31" s="688"/>
      <c r="D31" s="688"/>
      <c r="E31" s="685"/>
      <c r="F31" s="685"/>
      <c r="G31" s="685"/>
      <c r="H31" s="685"/>
      <c r="I31" s="685"/>
      <c r="J31" s="682"/>
      <c r="K31" s="682"/>
      <c r="L31" s="685"/>
      <c r="M31" s="685"/>
      <c r="N31" s="685"/>
      <c r="O31" s="685"/>
      <c r="P31" s="685"/>
      <c r="Q31" s="685"/>
      <c r="R31" s="685"/>
      <c r="S31" s="685"/>
      <c r="T31" s="685"/>
      <c r="U31" s="685"/>
      <c r="V31" s="685"/>
      <c r="W31" s="685"/>
      <c r="X31" s="685"/>
      <c r="Y31" s="685">
        <v>472406</v>
      </c>
      <c r="Z31" s="685">
        <v>341172</v>
      </c>
      <c r="AA31" s="687">
        <f t="shared" si="0"/>
        <v>813578</v>
      </c>
      <c r="AB31" s="689"/>
      <c r="AC31" s="689"/>
      <c r="AD31" s="689"/>
      <c r="AE31" s="690"/>
      <c r="AF31" s="690"/>
      <c r="AG31" s="691"/>
      <c r="AH31" s="690"/>
      <c r="AI31" s="690"/>
    </row>
    <row r="32" spans="1:35" s="655" customFormat="1" ht="14.25">
      <c r="A32" s="681">
        <f t="shared" si="2"/>
        <v>23</v>
      </c>
      <c r="B32" s="1020" t="s">
        <v>149</v>
      </c>
      <c r="C32" s="688"/>
      <c r="D32" s="688"/>
      <c r="E32" s="685"/>
      <c r="F32" s="685"/>
      <c r="G32" s="685"/>
      <c r="H32" s="685"/>
      <c r="I32" s="685"/>
      <c r="J32" s="685"/>
      <c r="K32" s="685"/>
      <c r="L32" s="685"/>
      <c r="M32" s="685"/>
      <c r="N32" s="685">
        <v>2965</v>
      </c>
      <c r="O32" s="685">
        <v>1275</v>
      </c>
      <c r="P32" s="685"/>
      <c r="Q32" s="685">
        <v>180</v>
      </c>
      <c r="R32" s="685">
        <v>220</v>
      </c>
      <c r="S32" s="685">
        <v>260</v>
      </c>
      <c r="T32" s="685"/>
      <c r="U32" s="685"/>
      <c r="V32" s="685"/>
      <c r="W32" s="685"/>
      <c r="X32" s="685"/>
      <c r="Y32" s="685"/>
      <c r="Z32" s="685">
        <v>62750</v>
      </c>
      <c r="AA32" s="687">
        <f t="shared" si="0"/>
        <v>67650</v>
      </c>
      <c r="AB32" s="689"/>
      <c r="AC32" s="689"/>
      <c r="AD32" s="689"/>
      <c r="AE32" s="690"/>
      <c r="AF32" s="690"/>
      <c r="AG32" s="691"/>
      <c r="AH32" s="690"/>
      <c r="AI32" s="690"/>
    </row>
    <row r="33" spans="1:35" s="655" customFormat="1" ht="14.25">
      <c r="A33" s="681">
        <f t="shared" si="2"/>
        <v>24</v>
      </c>
      <c r="B33" s="1020" t="s">
        <v>150</v>
      </c>
      <c r="C33" s="688"/>
      <c r="D33" s="688"/>
      <c r="E33" s="685"/>
      <c r="F33" s="685"/>
      <c r="G33" s="685"/>
      <c r="H33" s="685"/>
      <c r="I33" s="685"/>
      <c r="J33" s="685"/>
      <c r="K33" s="685"/>
      <c r="L33" s="685"/>
      <c r="M33" s="685"/>
      <c r="N33" s="685"/>
      <c r="O33" s="685"/>
      <c r="P33" s="685"/>
      <c r="Q33" s="685"/>
      <c r="R33" s="685"/>
      <c r="S33" s="685"/>
      <c r="T33" s="685">
        <v>7149</v>
      </c>
      <c r="U33" s="685">
        <v>4291</v>
      </c>
      <c r="V33" s="685"/>
      <c r="W33" s="685"/>
      <c r="X33" s="685"/>
      <c r="Y33" s="685"/>
      <c r="Z33" s="685"/>
      <c r="AA33" s="687">
        <f t="shared" si="0"/>
        <v>11440</v>
      </c>
      <c r="AB33" s="689"/>
      <c r="AC33" s="689"/>
      <c r="AD33" s="689"/>
      <c r="AE33" s="690"/>
      <c r="AF33" s="690"/>
      <c r="AG33" s="691"/>
      <c r="AH33" s="690"/>
      <c r="AI33" s="690"/>
    </row>
    <row r="34" spans="1:35" s="655" customFormat="1" ht="14.25">
      <c r="A34" s="681">
        <f t="shared" si="2"/>
        <v>25</v>
      </c>
      <c r="B34" s="1020" t="s">
        <v>151</v>
      </c>
      <c r="C34" s="688"/>
      <c r="D34" s="688"/>
      <c r="E34" s="685"/>
      <c r="F34" s="685"/>
      <c r="G34" s="685"/>
      <c r="H34" s="685"/>
      <c r="I34" s="685"/>
      <c r="J34" s="685"/>
      <c r="K34" s="685"/>
      <c r="L34" s="685"/>
      <c r="M34" s="685"/>
      <c r="N34" s="685"/>
      <c r="O34" s="685"/>
      <c r="P34" s="685"/>
      <c r="Q34" s="685"/>
      <c r="R34" s="685"/>
      <c r="S34" s="685"/>
      <c r="T34" s="685">
        <v>1000</v>
      </c>
      <c r="U34" s="685">
        <v>400</v>
      </c>
      <c r="V34" s="685">
        <v>86</v>
      </c>
      <c r="W34" s="685"/>
      <c r="X34" s="685">
        <v>492.7</v>
      </c>
      <c r="Y34" s="685"/>
      <c r="Z34" s="685"/>
      <c r="AA34" s="687">
        <f t="shared" si="0"/>
        <v>1978.7</v>
      </c>
      <c r="AB34" s="689"/>
      <c r="AC34" s="689"/>
      <c r="AD34" s="689"/>
      <c r="AE34" s="689"/>
      <c r="AF34" s="690"/>
      <c r="AG34" s="691"/>
      <c r="AH34" s="690"/>
      <c r="AI34" s="690"/>
    </row>
    <row r="35" spans="1:35" s="655" customFormat="1" ht="14.25">
      <c r="A35" s="681">
        <f t="shared" si="2"/>
        <v>26</v>
      </c>
      <c r="B35" s="1020" t="s">
        <v>152</v>
      </c>
      <c r="C35" s="688"/>
      <c r="D35" s="688"/>
      <c r="E35" s="685"/>
      <c r="F35" s="685"/>
      <c r="G35" s="685"/>
      <c r="H35" s="685"/>
      <c r="I35" s="685">
        <v>38550</v>
      </c>
      <c r="J35" s="685">
        <v>47228</v>
      </c>
      <c r="K35" s="685">
        <v>34264</v>
      </c>
      <c r="L35" s="685">
        <v>6884</v>
      </c>
      <c r="M35" s="685">
        <v>150</v>
      </c>
      <c r="N35" s="685">
        <v>238</v>
      </c>
      <c r="O35" s="685">
        <v>184</v>
      </c>
      <c r="P35" s="685">
        <v>152</v>
      </c>
      <c r="Q35" s="685">
        <v>30775</v>
      </c>
      <c r="R35" s="685">
        <v>90228</v>
      </c>
      <c r="S35" s="685">
        <v>14062</v>
      </c>
      <c r="T35" s="685"/>
      <c r="U35" s="685"/>
      <c r="V35" s="685"/>
      <c r="W35" s="685"/>
      <c r="X35" s="685"/>
      <c r="Y35" s="685"/>
      <c r="Z35" s="685"/>
      <c r="AA35" s="687">
        <f t="shared" si="0"/>
        <v>262715</v>
      </c>
      <c r="AB35" s="689"/>
      <c r="AC35" s="689"/>
      <c r="AD35" s="689"/>
      <c r="AE35" s="689"/>
      <c r="AF35" s="689"/>
      <c r="AG35" s="690"/>
      <c r="AH35" s="690"/>
      <c r="AI35" s="690"/>
    </row>
    <row r="36" spans="1:35" s="655" customFormat="1" ht="14.25">
      <c r="A36" s="681">
        <f t="shared" si="2"/>
        <v>27</v>
      </c>
      <c r="B36" s="1020" t="s">
        <v>153</v>
      </c>
      <c r="C36" s="688"/>
      <c r="D36" s="688"/>
      <c r="E36" s="685"/>
      <c r="F36" s="685"/>
      <c r="G36" s="685"/>
      <c r="H36" s="685"/>
      <c r="I36" s="685">
        <f>6</f>
        <v>6</v>
      </c>
      <c r="J36" s="682">
        <v>469</v>
      </c>
      <c r="K36" s="685">
        <v>34617</v>
      </c>
      <c r="L36" s="685">
        <v>2336</v>
      </c>
      <c r="M36" s="685">
        <v>7763</v>
      </c>
      <c r="N36" s="685">
        <v>1342</v>
      </c>
      <c r="O36" s="685">
        <v>916</v>
      </c>
      <c r="P36" s="685">
        <v>640</v>
      </c>
      <c r="Q36" s="685">
        <v>4602</v>
      </c>
      <c r="R36" s="685">
        <v>6105</v>
      </c>
      <c r="S36" s="685">
        <v>8225</v>
      </c>
      <c r="T36" s="685">
        <v>6774</v>
      </c>
      <c r="U36" s="685">
        <v>1474</v>
      </c>
      <c r="V36" s="685">
        <v>5769</v>
      </c>
      <c r="W36" s="685">
        <v>1141</v>
      </c>
      <c r="X36" s="685">
        <v>56940.7</v>
      </c>
      <c r="Y36" s="685">
        <v>48533</v>
      </c>
      <c r="Z36" s="685">
        <v>16923</v>
      </c>
      <c r="AA36" s="687">
        <f t="shared" si="0"/>
        <v>204575.7</v>
      </c>
      <c r="AB36" s="689"/>
      <c r="AC36" s="690"/>
      <c r="AD36" s="690"/>
      <c r="AE36" s="690"/>
      <c r="AF36" s="690"/>
      <c r="AG36" s="691"/>
      <c r="AH36" s="690"/>
      <c r="AI36" s="690"/>
    </row>
    <row r="37" spans="1:35" s="655" customFormat="1" ht="14.25">
      <c r="A37" s="681">
        <f t="shared" si="2"/>
        <v>28</v>
      </c>
      <c r="B37" s="1020" t="s">
        <v>154</v>
      </c>
      <c r="C37" s="688"/>
      <c r="D37" s="688"/>
      <c r="E37" s="685"/>
      <c r="F37" s="685"/>
      <c r="G37" s="685"/>
      <c r="H37" s="685"/>
      <c r="I37" s="685"/>
      <c r="J37" s="682"/>
      <c r="K37" s="682"/>
      <c r="L37" s="682"/>
      <c r="M37" s="685"/>
      <c r="N37" s="685"/>
      <c r="O37" s="685"/>
      <c r="P37" s="685"/>
      <c r="Q37" s="685"/>
      <c r="R37" s="685"/>
      <c r="S37" s="685"/>
      <c r="T37" s="685"/>
      <c r="U37" s="685"/>
      <c r="V37" s="685">
        <v>5929</v>
      </c>
      <c r="W37" s="685">
        <v>37867</v>
      </c>
      <c r="X37" s="685">
        <v>2616</v>
      </c>
      <c r="Y37" s="685">
        <v>992</v>
      </c>
      <c r="Z37" s="685">
        <v>1286</v>
      </c>
      <c r="AA37" s="687">
        <f t="shared" si="0"/>
        <v>48690</v>
      </c>
      <c r="AB37" s="689"/>
      <c r="AC37" s="690"/>
      <c r="AD37" s="689"/>
      <c r="AE37" s="689"/>
      <c r="AF37" s="690"/>
      <c r="AG37" s="691"/>
      <c r="AH37" s="690"/>
      <c r="AI37" s="690"/>
    </row>
    <row r="38" spans="1:35" s="655" customFormat="1" ht="29.25" customHeight="1">
      <c r="A38" s="681">
        <f t="shared" si="2"/>
        <v>29</v>
      </c>
      <c r="B38" s="1021" t="s">
        <v>155</v>
      </c>
      <c r="C38" s="688"/>
      <c r="D38" s="688"/>
      <c r="E38" s="685"/>
      <c r="F38" s="685"/>
      <c r="G38" s="685"/>
      <c r="H38" s="685"/>
      <c r="I38" s="685"/>
      <c r="J38" s="685"/>
      <c r="K38" s="685">
        <v>792</v>
      </c>
      <c r="L38" s="685">
        <v>25.5</v>
      </c>
      <c r="M38" s="685">
        <v>23</v>
      </c>
      <c r="N38" s="685"/>
      <c r="O38" s="685"/>
      <c r="P38" s="685"/>
      <c r="Q38" s="685"/>
      <c r="R38" s="685"/>
      <c r="S38" s="685"/>
      <c r="T38" s="685"/>
      <c r="U38" s="685"/>
      <c r="V38" s="685"/>
      <c r="W38" s="685"/>
      <c r="X38" s="685"/>
      <c r="Y38" s="685"/>
      <c r="Z38" s="685"/>
      <c r="AA38" s="687">
        <f t="shared" si="0"/>
        <v>840.5</v>
      </c>
      <c r="AB38" s="689"/>
      <c r="AC38" s="690"/>
      <c r="AD38" s="689"/>
      <c r="AE38" s="689"/>
      <c r="AF38" s="690"/>
      <c r="AG38" s="691"/>
      <c r="AH38" s="690"/>
      <c r="AI38" s="690"/>
    </row>
    <row r="39" spans="1:35" s="655" customFormat="1" ht="14.25">
      <c r="A39" s="681">
        <f t="shared" si="2"/>
        <v>30</v>
      </c>
      <c r="B39" s="1020" t="s">
        <v>156</v>
      </c>
      <c r="C39" s="688"/>
      <c r="D39" s="688"/>
      <c r="E39" s="685"/>
      <c r="F39" s="685"/>
      <c r="G39" s="685"/>
      <c r="H39" s="685"/>
      <c r="I39" s="685"/>
      <c r="J39" s="685"/>
      <c r="K39" s="685"/>
      <c r="L39" s="685"/>
      <c r="M39" s="685"/>
      <c r="N39" s="685"/>
      <c r="O39" s="685"/>
      <c r="P39" s="685"/>
      <c r="Q39" s="685"/>
      <c r="R39" s="685"/>
      <c r="S39" s="685"/>
      <c r="T39" s="685"/>
      <c r="U39" s="685"/>
      <c r="V39" s="685"/>
      <c r="W39" s="685"/>
      <c r="X39" s="685">
        <v>718</v>
      </c>
      <c r="Y39" s="685">
        <v>776</v>
      </c>
      <c r="Z39" s="685">
        <v>1152</v>
      </c>
      <c r="AA39" s="687">
        <f t="shared" si="0"/>
        <v>2646</v>
      </c>
      <c r="AB39" s="689"/>
      <c r="AC39" s="689"/>
      <c r="AD39" s="689"/>
      <c r="AE39" s="689"/>
      <c r="AF39" s="689"/>
      <c r="AG39" s="690"/>
      <c r="AH39" s="690"/>
      <c r="AI39" s="690"/>
    </row>
    <row r="40" spans="1:35" s="655" customFormat="1" ht="14.25">
      <c r="A40" s="681">
        <f t="shared" si="2"/>
        <v>31</v>
      </c>
      <c r="B40" s="1020" t="s">
        <v>157</v>
      </c>
      <c r="C40" s="688"/>
      <c r="D40" s="688"/>
      <c r="E40" s="685"/>
      <c r="F40" s="685"/>
      <c r="G40" s="685"/>
      <c r="H40" s="685"/>
      <c r="I40" s="685"/>
      <c r="J40" s="685">
        <v>32416.105</v>
      </c>
      <c r="K40" s="685">
        <v>37156.508</v>
      </c>
      <c r="L40" s="685">
        <v>104710.859</v>
      </c>
      <c r="M40" s="685">
        <v>86324</v>
      </c>
      <c r="N40" s="685">
        <v>970</v>
      </c>
      <c r="O40" s="685">
        <v>5090</v>
      </c>
      <c r="P40" s="685">
        <v>2433</v>
      </c>
      <c r="Q40" s="685">
        <v>34608</v>
      </c>
      <c r="R40" s="685">
        <v>11653</v>
      </c>
      <c r="S40" s="685">
        <v>56770</v>
      </c>
      <c r="T40" s="685">
        <v>78712</v>
      </c>
      <c r="U40" s="685">
        <v>69851</v>
      </c>
      <c r="V40" s="685">
        <v>33109</v>
      </c>
      <c r="W40" s="685">
        <v>88781</v>
      </c>
      <c r="X40" s="685">
        <v>270138</v>
      </c>
      <c r="Y40" s="685">
        <v>490574</v>
      </c>
      <c r="Z40" s="685">
        <v>206693</v>
      </c>
      <c r="AA40" s="687">
        <f t="shared" si="0"/>
        <v>1609989.472</v>
      </c>
      <c r="AB40" s="689"/>
      <c r="AC40" s="689"/>
      <c r="AD40" s="690"/>
      <c r="AE40" s="689"/>
      <c r="AF40" s="689"/>
      <c r="AG40" s="691"/>
      <c r="AH40" s="690"/>
      <c r="AI40" s="690"/>
    </row>
    <row r="41" spans="1:35" s="655" customFormat="1" ht="14.25">
      <c r="A41" s="681">
        <f aca="true" t="shared" si="3" ref="A41:A52">+A40+1</f>
        <v>32</v>
      </c>
      <c r="B41" s="1020" t="s">
        <v>246</v>
      </c>
      <c r="C41" s="688"/>
      <c r="D41" s="688"/>
      <c r="E41" s="685"/>
      <c r="F41" s="685"/>
      <c r="G41" s="685"/>
      <c r="H41" s="685"/>
      <c r="I41" s="685"/>
      <c r="J41" s="685"/>
      <c r="K41" s="685"/>
      <c r="L41" s="685"/>
      <c r="M41" s="685"/>
      <c r="N41" s="685"/>
      <c r="O41" s="685"/>
      <c r="P41" s="685"/>
      <c r="Q41" s="685"/>
      <c r="R41" s="685"/>
      <c r="S41" s="685"/>
      <c r="T41" s="685"/>
      <c r="U41" s="685"/>
      <c r="V41" s="685"/>
      <c r="W41" s="685"/>
      <c r="X41" s="685"/>
      <c r="Y41" s="685">
        <v>941</v>
      </c>
      <c r="Z41" s="685"/>
      <c r="AA41" s="687">
        <f t="shared" si="0"/>
        <v>941</v>
      </c>
      <c r="AB41" s="689"/>
      <c r="AC41" s="689"/>
      <c r="AD41" s="690"/>
      <c r="AE41" s="689"/>
      <c r="AF41" s="689"/>
      <c r="AG41" s="691"/>
      <c r="AH41" s="690"/>
      <c r="AI41" s="690"/>
    </row>
    <row r="42" spans="1:35" s="655" customFormat="1" ht="14.25">
      <c r="A42" s="681">
        <f t="shared" si="3"/>
        <v>33</v>
      </c>
      <c r="B42" s="1020" t="s">
        <v>158</v>
      </c>
      <c r="C42" s="688"/>
      <c r="D42" s="688"/>
      <c r="E42" s="685"/>
      <c r="F42" s="685"/>
      <c r="G42" s="685"/>
      <c r="H42" s="685"/>
      <c r="I42" s="685"/>
      <c r="J42" s="682"/>
      <c r="K42" s="682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>
        <v>7483</v>
      </c>
      <c r="W42" s="685">
        <v>33759</v>
      </c>
      <c r="X42" s="685">
        <v>328925</v>
      </c>
      <c r="Y42" s="685">
        <v>195512</v>
      </c>
      <c r="Z42" s="685">
        <v>185271</v>
      </c>
      <c r="AA42" s="687">
        <f aca="true" t="shared" si="4" ref="AA42:AA70">SUM(C42:Z42)</f>
        <v>750950</v>
      </c>
      <c r="AB42" s="689"/>
      <c r="AC42" s="689"/>
      <c r="AD42" s="690"/>
      <c r="AE42" s="689"/>
      <c r="AF42" s="689"/>
      <c r="AG42" s="691"/>
      <c r="AH42" s="690"/>
      <c r="AI42" s="690"/>
    </row>
    <row r="43" spans="1:35" s="655" customFormat="1" ht="14.25">
      <c r="A43" s="681">
        <f t="shared" si="3"/>
        <v>34</v>
      </c>
      <c r="B43" s="1020" t="s">
        <v>159</v>
      </c>
      <c r="C43" s="688"/>
      <c r="D43" s="688"/>
      <c r="E43" s="685"/>
      <c r="F43" s="685"/>
      <c r="G43" s="685"/>
      <c r="H43" s="685"/>
      <c r="I43" s="685"/>
      <c r="J43" s="682"/>
      <c r="K43" s="682"/>
      <c r="L43" s="682">
        <v>0</v>
      </c>
      <c r="M43" s="685"/>
      <c r="N43" s="685"/>
      <c r="O43" s="685"/>
      <c r="P43" s="685"/>
      <c r="Q43" s="685"/>
      <c r="R43" s="685"/>
      <c r="S43" s="685"/>
      <c r="T43" s="685"/>
      <c r="U43" s="685"/>
      <c r="V43" s="685">
        <v>1246</v>
      </c>
      <c r="W43" s="685">
        <v>4106</v>
      </c>
      <c r="X43" s="685"/>
      <c r="Y43" s="685"/>
      <c r="Z43" s="685"/>
      <c r="AA43" s="687">
        <f t="shared" si="4"/>
        <v>5352</v>
      </c>
      <c r="AB43" s="689"/>
      <c r="AC43" s="689"/>
      <c r="AD43" s="690"/>
      <c r="AE43" s="689"/>
      <c r="AF43" s="689"/>
      <c r="AG43" s="690"/>
      <c r="AH43" s="690"/>
      <c r="AI43" s="690"/>
    </row>
    <row r="44" spans="1:35" s="655" customFormat="1" ht="14.25">
      <c r="A44" s="681">
        <f t="shared" si="3"/>
        <v>35</v>
      </c>
      <c r="B44" s="1020" t="s">
        <v>160</v>
      </c>
      <c r="C44" s="688"/>
      <c r="D44" s="688"/>
      <c r="E44" s="685"/>
      <c r="F44" s="685"/>
      <c r="G44" s="685"/>
      <c r="H44" s="685"/>
      <c r="I44" s="685"/>
      <c r="J44" s="685"/>
      <c r="K44" s="685"/>
      <c r="L44" s="685"/>
      <c r="M44" s="685"/>
      <c r="N44" s="685"/>
      <c r="O44" s="685"/>
      <c r="P44" s="685"/>
      <c r="Q44" s="685"/>
      <c r="R44" s="685"/>
      <c r="S44" s="685"/>
      <c r="T44" s="685"/>
      <c r="U44" s="685"/>
      <c r="V44" s="685"/>
      <c r="W44" s="685">
        <v>9650</v>
      </c>
      <c r="X44" s="685">
        <v>6479.3</v>
      </c>
      <c r="Y44" s="685">
        <v>4542</v>
      </c>
      <c r="Z44" s="685"/>
      <c r="AA44" s="687">
        <f t="shared" si="4"/>
        <v>20671.3</v>
      </c>
      <c r="AB44" s="689"/>
      <c r="AC44" s="689"/>
      <c r="AD44" s="689"/>
      <c r="AE44" s="690"/>
      <c r="AF44" s="690"/>
      <c r="AG44" s="691"/>
      <c r="AH44" s="690"/>
      <c r="AI44" s="690"/>
    </row>
    <row r="45" spans="1:35" s="655" customFormat="1" ht="14.25">
      <c r="A45" s="681">
        <f t="shared" si="3"/>
        <v>36</v>
      </c>
      <c r="B45" s="1020" t="s">
        <v>290</v>
      </c>
      <c r="C45" s="688"/>
      <c r="D45" s="688"/>
      <c r="E45" s="685"/>
      <c r="F45" s="685"/>
      <c r="G45" s="685"/>
      <c r="H45" s="685"/>
      <c r="I45" s="685"/>
      <c r="J45" s="682"/>
      <c r="K45" s="682"/>
      <c r="L45" s="685"/>
      <c r="M45" s="685"/>
      <c r="N45" s="685"/>
      <c r="O45" s="685"/>
      <c r="P45" s="685"/>
      <c r="Q45" s="685"/>
      <c r="R45" s="685"/>
      <c r="S45" s="685">
        <v>48894</v>
      </c>
      <c r="T45" s="685">
        <v>16022</v>
      </c>
      <c r="U45" s="1023" t="s">
        <v>91</v>
      </c>
      <c r="V45" s="1023" t="s">
        <v>91</v>
      </c>
      <c r="W45" s="1023" t="s">
        <v>91</v>
      </c>
      <c r="X45" s="1023" t="s">
        <v>91</v>
      </c>
      <c r="Y45" s="1023" t="s">
        <v>91</v>
      </c>
      <c r="Z45" s="1023" t="s">
        <v>91</v>
      </c>
      <c r="AA45" s="687">
        <f t="shared" si="4"/>
        <v>64916</v>
      </c>
      <c r="AB45" s="689"/>
      <c r="AC45" s="689"/>
      <c r="AD45" s="689"/>
      <c r="AE45" s="690"/>
      <c r="AF45" s="690"/>
      <c r="AG45" s="691"/>
      <c r="AH45" s="690"/>
      <c r="AI45" s="690"/>
    </row>
    <row r="46" spans="1:35" s="655" customFormat="1" ht="14.25">
      <c r="A46" s="681">
        <f t="shared" si="3"/>
        <v>37</v>
      </c>
      <c r="B46" s="1020" t="s">
        <v>161</v>
      </c>
      <c r="C46" s="688"/>
      <c r="D46" s="688"/>
      <c r="E46" s="685"/>
      <c r="F46" s="685"/>
      <c r="G46" s="685"/>
      <c r="H46" s="685"/>
      <c r="I46" s="685"/>
      <c r="J46" s="685"/>
      <c r="K46" s="685"/>
      <c r="L46" s="685"/>
      <c r="M46" s="685"/>
      <c r="N46" s="685"/>
      <c r="O46" s="685"/>
      <c r="P46" s="685"/>
      <c r="Q46" s="685"/>
      <c r="R46" s="685"/>
      <c r="S46" s="685"/>
      <c r="T46" s="685"/>
      <c r="U46" s="685"/>
      <c r="V46" s="685"/>
      <c r="W46" s="685"/>
      <c r="X46" s="685">
        <v>716</v>
      </c>
      <c r="Y46" s="685"/>
      <c r="Z46" s="685"/>
      <c r="AA46" s="687">
        <f t="shared" si="4"/>
        <v>716</v>
      </c>
      <c r="AB46" s="689"/>
      <c r="AC46" s="689"/>
      <c r="AD46" s="689"/>
      <c r="AE46" s="690"/>
      <c r="AF46" s="690"/>
      <c r="AG46" s="690"/>
      <c r="AH46" s="690"/>
      <c r="AI46" s="690"/>
    </row>
    <row r="47" spans="1:62" s="655" customFormat="1" ht="14.25">
      <c r="A47" s="681">
        <f t="shared" si="3"/>
        <v>38</v>
      </c>
      <c r="B47" s="1020" t="s">
        <v>162</v>
      </c>
      <c r="C47" s="688"/>
      <c r="D47" s="688"/>
      <c r="E47" s="685"/>
      <c r="F47" s="685"/>
      <c r="G47" s="685"/>
      <c r="H47" s="685"/>
      <c r="I47" s="685"/>
      <c r="J47" s="685"/>
      <c r="K47" s="685"/>
      <c r="L47" s="685"/>
      <c r="M47" s="685"/>
      <c r="N47" s="685"/>
      <c r="O47" s="685"/>
      <c r="P47" s="685"/>
      <c r="Q47" s="685"/>
      <c r="R47" s="685"/>
      <c r="S47" s="685"/>
      <c r="T47" s="685"/>
      <c r="U47" s="685"/>
      <c r="V47" s="685"/>
      <c r="W47" s="685"/>
      <c r="X47" s="685">
        <v>739</v>
      </c>
      <c r="Y47" s="685"/>
      <c r="Z47" s="685"/>
      <c r="AA47" s="687">
        <f t="shared" si="4"/>
        <v>739</v>
      </c>
      <c r="AB47" s="689"/>
      <c r="AC47" s="689"/>
      <c r="AD47" s="689"/>
      <c r="AE47" s="689"/>
      <c r="AF47" s="690"/>
      <c r="AG47" s="689"/>
      <c r="AH47" s="689"/>
      <c r="AI47" s="689"/>
      <c r="AK47" s="692"/>
      <c r="AL47" s="693"/>
      <c r="AM47" s="693"/>
      <c r="AN47" s="693"/>
      <c r="AO47" s="693"/>
      <c r="AP47" s="693"/>
      <c r="AQ47" s="693"/>
      <c r="AR47" s="693"/>
      <c r="AS47" s="693"/>
      <c r="AT47" s="693"/>
      <c r="AU47" s="693"/>
      <c r="AV47" s="693"/>
      <c r="AW47" s="693"/>
      <c r="AX47" s="693"/>
      <c r="AY47" s="693"/>
      <c r="AZ47" s="693"/>
      <c r="BA47" s="693"/>
      <c r="BB47" s="693"/>
      <c r="BC47" s="693"/>
      <c r="BD47" s="693"/>
      <c r="BE47" s="693"/>
      <c r="BF47" s="693"/>
      <c r="BG47" s="693"/>
      <c r="BH47" s="693"/>
      <c r="BI47" s="693"/>
      <c r="BJ47" s="693"/>
    </row>
    <row r="48" spans="1:62" s="655" customFormat="1" ht="14.25">
      <c r="A48" s="681">
        <f t="shared" si="3"/>
        <v>39</v>
      </c>
      <c r="B48" s="1020" t="s">
        <v>247</v>
      </c>
      <c r="C48" s="688"/>
      <c r="D48" s="688"/>
      <c r="E48" s="685"/>
      <c r="F48" s="685"/>
      <c r="G48" s="685"/>
      <c r="H48" s="685"/>
      <c r="I48" s="685"/>
      <c r="J48" s="685"/>
      <c r="K48" s="685"/>
      <c r="L48" s="685"/>
      <c r="M48" s="685"/>
      <c r="N48" s="685"/>
      <c r="O48" s="685"/>
      <c r="P48" s="685"/>
      <c r="Q48" s="685"/>
      <c r="R48" s="685"/>
      <c r="S48" s="685"/>
      <c r="T48" s="685"/>
      <c r="U48" s="685"/>
      <c r="V48" s="685"/>
      <c r="W48" s="685"/>
      <c r="X48" s="685"/>
      <c r="Y48" s="685">
        <v>844</v>
      </c>
      <c r="Z48" s="685"/>
      <c r="AA48" s="687">
        <f t="shared" si="4"/>
        <v>844</v>
      </c>
      <c r="AB48" s="689"/>
      <c r="AC48" s="689"/>
      <c r="AD48" s="689"/>
      <c r="AE48" s="689"/>
      <c r="AF48" s="690"/>
      <c r="AG48" s="689"/>
      <c r="AH48" s="689"/>
      <c r="AI48" s="689"/>
      <c r="AK48" s="689"/>
      <c r="AL48" s="689"/>
      <c r="AM48" s="689"/>
      <c r="AN48" s="689"/>
      <c r="AO48" s="689"/>
      <c r="AP48" s="689"/>
      <c r="AQ48" s="689"/>
      <c r="AR48" s="689"/>
      <c r="AS48" s="689"/>
      <c r="AT48" s="689"/>
      <c r="AU48" s="689"/>
      <c r="AV48" s="689"/>
      <c r="AW48" s="689"/>
      <c r="AX48" s="689"/>
      <c r="AY48" s="689"/>
      <c r="AZ48" s="689"/>
      <c r="BA48" s="689"/>
      <c r="BB48" s="689"/>
      <c r="BC48" s="689"/>
      <c r="BD48" s="689"/>
      <c r="BE48" s="689"/>
      <c r="BF48" s="689"/>
      <c r="BG48" s="689"/>
      <c r="BH48" s="689"/>
      <c r="BI48" s="689"/>
      <c r="BJ48" s="689"/>
    </row>
    <row r="49" spans="1:62" s="655" customFormat="1" ht="14.25">
      <c r="A49" s="681">
        <f t="shared" si="3"/>
        <v>40</v>
      </c>
      <c r="B49" s="1020" t="s">
        <v>163</v>
      </c>
      <c r="C49" s="688"/>
      <c r="D49" s="688"/>
      <c r="E49" s="685"/>
      <c r="F49" s="685"/>
      <c r="G49" s="685"/>
      <c r="H49" s="685"/>
      <c r="I49" s="685"/>
      <c r="J49" s="685"/>
      <c r="K49" s="685"/>
      <c r="L49" s="685"/>
      <c r="M49" s="685"/>
      <c r="N49" s="685"/>
      <c r="O49" s="685"/>
      <c r="P49" s="685"/>
      <c r="Q49" s="685"/>
      <c r="R49" s="685"/>
      <c r="S49" s="685"/>
      <c r="T49" s="685"/>
      <c r="U49" s="685"/>
      <c r="V49" s="685"/>
      <c r="W49" s="685">
        <v>9027</v>
      </c>
      <c r="X49" s="685">
        <v>19567</v>
      </c>
      <c r="Y49" s="685">
        <v>6547.36045</v>
      </c>
      <c r="Z49" s="685"/>
      <c r="AA49" s="687">
        <f t="shared" si="4"/>
        <v>35141.36045</v>
      </c>
      <c r="AB49" s="689"/>
      <c r="AC49" s="689"/>
      <c r="AD49" s="689"/>
      <c r="AE49" s="689"/>
      <c r="AF49" s="690"/>
      <c r="AG49" s="694"/>
      <c r="AH49" s="689"/>
      <c r="AI49" s="689"/>
      <c r="AK49" s="689"/>
      <c r="AL49" s="689"/>
      <c r="AM49" s="689"/>
      <c r="AN49" s="689"/>
      <c r="AO49" s="689"/>
      <c r="AP49" s="689"/>
      <c r="AQ49" s="689"/>
      <c r="AR49" s="689"/>
      <c r="AS49" s="689"/>
      <c r="AT49" s="689"/>
      <c r="AU49" s="689"/>
      <c r="AV49" s="689"/>
      <c r="AW49" s="689"/>
      <c r="AX49" s="689"/>
      <c r="AY49" s="689"/>
      <c r="AZ49" s="689"/>
      <c r="BA49" s="689"/>
      <c r="BB49" s="689"/>
      <c r="BC49" s="689"/>
      <c r="BD49" s="689"/>
      <c r="BE49" s="689"/>
      <c r="BF49" s="689"/>
      <c r="BG49" s="689"/>
      <c r="BH49" s="689"/>
      <c r="BI49" s="689"/>
      <c r="BJ49" s="689"/>
    </row>
    <row r="50" spans="1:62" s="655" customFormat="1" ht="14.25">
      <c r="A50" s="681">
        <f t="shared" si="3"/>
        <v>41</v>
      </c>
      <c r="B50" s="1020" t="s">
        <v>164</v>
      </c>
      <c r="C50" s="688"/>
      <c r="D50" s="688"/>
      <c r="E50" s="685"/>
      <c r="F50" s="685"/>
      <c r="G50" s="685"/>
      <c r="H50" s="685"/>
      <c r="I50" s="685"/>
      <c r="J50" s="685"/>
      <c r="K50" s="685">
        <v>156</v>
      </c>
      <c r="L50" s="685">
        <v>244</v>
      </c>
      <c r="M50" s="685">
        <v>300</v>
      </c>
      <c r="N50" s="685"/>
      <c r="O50" s="685"/>
      <c r="P50" s="685"/>
      <c r="Q50" s="685"/>
      <c r="R50" s="685"/>
      <c r="S50" s="685"/>
      <c r="T50" s="685"/>
      <c r="U50" s="685"/>
      <c r="V50" s="685"/>
      <c r="W50" s="685"/>
      <c r="X50" s="685"/>
      <c r="Y50" s="685"/>
      <c r="Z50" s="685"/>
      <c r="AA50" s="687">
        <f t="shared" si="4"/>
        <v>700</v>
      </c>
      <c r="AB50" s="689"/>
      <c r="AC50" s="689"/>
      <c r="AD50" s="689"/>
      <c r="AE50" s="689"/>
      <c r="AF50" s="690"/>
      <c r="AG50" s="689"/>
      <c r="AH50" s="689"/>
      <c r="AI50" s="689"/>
      <c r="AK50" s="689"/>
      <c r="AL50" s="689"/>
      <c r="AM50" s="689"/>
      <c r="AN50" s="689"/>
      <c r="AO50" s="689"/>
      <c r="AP50" s="689"/>
      <c r="AQ50" s="689"/>
      <c r="AR50" s="689"/>
      <c r="AS50" s="689"/>
      <c r="AT50" s="689"/>
      <c r="AU50" s="689"/>
      <c r="AV50" s="689"/>
      <c r="AW50" s="689"/>
      <c r="AX50" s="689"/>
      <c r="AY50" s="689"/>
      <c r="AZ50" s="689"/>
      <c r="BA50" s="689"/>
      <c r="BB50" s="689"/>
      <c r="BC50" s="689"/>
      <c r="BD50" s="689"/>
      <c r="BE50" s="689"/>
      <c r="BF50" s="689"/>
      <c r="BG50" s="689"/>
      <c r="BH50" s="689"/>
      <c r="BI50" s="689"/>
      <c r="BJ50" s="689"/>
    </row>
    <row r="51" spans="1:62" s="655" customFormat="1" ht="14.25">
      <c r="A51" s="681">
        <f t="shared" si="3"/>
        <v>42</v>
      </c>
      <c r="B51" s="1020" t="s">
        <v>248</v>
      </c>
      <c r="C51" s="688"/>
      <c r="D51" s="688"/>
      <c r="E51" s="685"/>
      <c r="F51" s="685"/>
      <c r="G51" s="685"/>
      <c r="H51" s="685"/>
      <c r="I51" s="685"/>
      <c r="J51" s="685"/>
      <c r="K51" s="685"/>
      <c r="L51" s="685"/>
      <c r="M51" s="685"/>
      <c r="N51" s="685"/>
      <c r="O51" s="685"/>
      <c r="P51" s="685"/>
      <c r="Q51" s="685"/>
      <c r="R51" s="685"/>
      <c r="S51" s="685"/>
      <c r="T51" s="685"/>
      <c r="U51" s="685"/>
      <c r="V51" s="685"/>
      <c r="W51" s="685"/>
      <c r="X51" s="685"/>
      <c r="Y51" s="685">
        <v>28</v>
      </c>
      <c r="Z51" s="685"/>
      <c r="AA51" s="687">
        <f t="shared" si="4"/>
        <v>28</v>
      </c>
      <c r="AB51" s="689"/>
      <c r="AC51" s="689"/>
      <c r="AD51" s="689"/>
      <c r="AE51" s="689"/>
      <c r="AF51" s="690"/>
      <c r="AG51" s="689"/>
      <c r="AH51" s="689"/>
      <c r="AI51" s="689"/>
      <c r="AK51" s="689"/>
      <c r="AL51" s="689"/>
      <c r="AM51" s="689"/>
      <c r="AN51" s="689"/>
      <c r="AO51" s="689"/>
      <c r="AP51" s="689"/>
      <c r="AQ51" s="689"/>
      <c r="AR51" s="689"/>
      <c r="AS51" s="689"/>
      <c r="AT51" s="689"/>
      <c r="AU51" s="689"/>
      <c r="AV51" s="689"/>
      <c r="AW51" s="689"/>
      <c r="AX51" s="689"/>
      <c r="AY51" s="689"/>
      <c r="AZ51" s="689"/>
      <c r="BA51" s="689"/>
      <c r="BB51" s="689"/>
      <c r="BC51" s="689"/>
      <c r="BD51" s="689"/>
      <c r="BE51" s="689"/>
      <c r="BF51" s="689"/>
      <c r="BG51" s="689"/>
      <c r="BH51" s="689"/>
      <c r="BI51" s="689"/>
      <c r="BJ51" s="689"/>
    </row>
    <row r="52" spans="1:62" s="655" customFormat="1" ht="14.25">
      <c r="A52" s="681">
        <f t="shared" si="3"/>
        <v>43</v>
      </c>
      <c r="B52" s="1020" t="s">
        <v>165</v>
      </c>
      <c r="C52" s="688"/>
      <c r="D52" s="688"/>
      <c r="E52" s="685"/>
      <c r="F52" s="685"/>
      <c r="G52" s="685"/>
      <c r="H52" s="685"/>
      <c r="I52" s="685"/>
      <c r="J52" s="682"/>
      <c r="K52" s="682"/>
      <c r="L52" s="682"/>
      <c r="M52" s="685"/>
      <c r="N52" s="685"/>
      <c r="O52" s="685"/>
      <c r="P52" s="685"/>
      <c r="Q52" s="685"/>
      <c r="R52" s="685"/>
      <c r="S52" s="685"/>
      <c r="T52" s="685"/>
      <c r="U52" s="685">
        <v>103037</v>
      </c>
      <c r="V52" s="685">
        <v>91026</v>
      </c>
      <c r="W52" s="685">
        <v>76529</v>
      </c>
      <c r="X52" s="685">
        <v>197258</v>
      </c>
      <c r="Y52" s="685">
        <v>59670</v>
      </c>
      <c r="Z52" s="685">
        <v>114000</v>
      </c>
      <c r="AA52" s="687">
        <f t="shared" si="4"/>
        <v>641520</v>
      </c>
      <c r="AB52" s="689"/>
      <c r="AC52" s="689"/>
      <c r="AD52" s="689"/>
      <c r="AE52" s="689"/>
      <c r="AF52" s="690"/>
      <c r="AG52" s="694"/>
      <c r="AH52" s="689"/>
      <c r="AI52" s="689"/>
      <c r="AK52" s="689"/>
      <c r="AL52" s="689"/>
      <c r="AM52" s="689"/>
      <c r="AN52" s="689"/>
      <c r="AO52" s="689"/>
      <c r="AP52" s="689"/>
      <c r="AQ52" s="689"/>
      <c r="AR52" s="689"/>
      <c r="AS52" s="689"/>
      <c r="AT52" s="689"/>
      <c r="AU52" s="689"/>
      <c r="AV52" s="689"/>
      <c r="AW52" s="689"/>
      <c r="AX52" s="689"/>
      <c r="AY52" s="689"/>
      <c r="AZ52" s="689"/>
      <c r="BA52" s="689"/>
      <c r="BB52" s="689"/>
      <c r="BC52" s="689"/>
      <c r="BD52" s="689"/>
      <c r="BE52" s="689"/>
      <c r="BF52" s="689"/>
      <c r="BG52" s="689"/>
      <c r="BH52" s="689"/>
      <c r="BI52" s="689"/>
      <c r="BJ52" s="689"/>
    </row>
    <row r="53" spans="1:62" s="655" customFormat="1" ht="14.25">
      <c r="A53" s="681">
        <f aca="true" t="shared" si="5" ref="A53:A58">+A52+1</f>
        <v>44</v>
      </c>
      <c r="B53" s="1020" t="s">
        <v>166</v>
      </c>
      <c r="C53" s="688"/>
      <c r="D53" s="688"/>
      <c r="E53" s="685"/>
      <c r="F53" s="685"/>
      <c r="G53" s="685"/>
      <c r="H53" s="685"/>
      <c r="I53" s="685"/>
      <c r="J53" s="685"/>
      <c r="K53" s="685"/>
      <c r="L53" s="685"/>
      <c r="M53" s="685"/>
      <c r="N53" s="685"/>
      <c r="O53" s="685"/>
      <c r="P53" s="685"/>
      <c r="Q53" s="685"/>
      <c r="R53" s="685"/>
      <c r="S53" s="685"/>
      <c r="T53" s="685">
        <v>237</v>
      </c>
      <c r="U53" s="685">
        <v>197</v>
      </c>
      <c r="V53" s="685">
        <v>548</v>
      </c>
      <c r="W53" s="685">
        <v>292</v>
      </c>
      <c r="X53" s="685">
        <v>228</v>
      </c>
      <c r="Y53" s="685">
        <v>1057</v>
      </c>
      <c r="Z53" s="685">
        <v>23196</v>
      </c>
      <c r="AA53" s="687">
        <f t="shared" si="4"/>
        <v>25755</v>
      </c>
      <c r="AB53" s="689"/>
      <c r="AC53" s="689"/>
      <c r="AD53" s="689"/>
      <c r="AE53" s="689"/>
      <c r="AF53" s="690"/>
      <c r="AG53" s="694"/>
      <c r="AH53" s="689"/>
      <c r="AI53" s="689"/>
      <c r="AK53" s="689"/>
      <c r="AL53" s="689"/>
      <c r="AM53" s="689"/>
      <c r="AN53" s="689"/>
      <c r="AO53" s="689"/>
      <c r="AP53" s="689"/>
      <c r="AQ53" s="689"/>
      <c r="AR53" s="689"/>
      <c r="AS53" s="689"/>
      <c r="AT53" s="689"/>
      <c r="AU53" s="689"/>
      <c r="AV53" s="689"/>
      <c r="AW53" s="689"/>
      <c r="AX53" s="689"/>
      <c r="AY53" s="689"/>
      <c r="AZ53" s="689"/>
      <c r="BA53" s="689"/>
      <c r="BB53" s="689"/>
      <c r="BC53" s="689"/>
      <c r="BD53" s="689"/>
      <c r="BE53" s="689"/>
      <c r="BF53" s="689"/>
      <c r="BG53" s="689"/>
      <c r="BH53" s="689"/>
      <c r="BI53" s="689"/>
      <c r="BJ53" s="689"/>
    </row>
    <row r="54" spans="1:62" s="655" customFormat="1" ht="14.25">
      <c r="A54" s="681">
        <f t="shared" si="5"/>
        <v>45</v>
      </c>
      <c r="B54" s="1020" t="s">
        <v>167</v>
      </c>
      <c r="C54" s="688"/>
      <c r="D54" s="688"/>
      <c r="E54" s="685"/>
      <c r="F54" s="685"/>
      <c r="G54" s="685"/>
      <c r="H54" s="685"/>
      <c r="I54" s="685"/>
      <c r="J54" s="685"/>
      <c r="K54" s="685"/>
      <c r="L54" s="685"/>
      <c r="M54" s="685"/>
      <c r="N54" s="685"/>
      <c r="O54" s="685"/>
      <c r="P54" s="685"/>
      <c r="Q54" s="685"/>
      <c r="R54" s="685"/>
      <c r="S54" s="685">
        <v>120</v>
      </c>
      <c r="T54" s="685">
        <v>515</v>
      </c>
      <c r="U54" s="685">
        <v>578</v>
      </c>
      <c r="V54" s="685">
        <v>1156</v>
      </c>
      <c r="W54" s="685"/>
      <c r="X54" s="685"/>
      <c r="Y54" s="685"/>
      <c r="Z54" s="685"/>
      <c r="AA54" s="687">
        <f t="shared" si="4"/>
        <v>2369</v>
      </c>
      <c r="AB54" s="689"/>
      <c r="AC54" s="689"/>
      <c r="AD54" s="689"/>
      <c r="AE54" s="689"/>
      <c r="AF54" s="690"/>
      <c r="AG54" s="694"/>
      <c r="AH54" s="689"/>
      <c r="AI54" s="689"/>
      <c r="AK54" s="689"/>
      <c r="AL54" s="689"/>
      <c r="AM54" s="689"/>
      <c r="AN54" s="689"/>
      <c r="AO54" s="689"/>
      <c r="AP54" s="689"/>
      <c r="AQ54" s="689"/>
      <c r="AR54" s="689"/>
      <c r="AS54" s="689"/>
      <c r="AT54" s="689"/>
      <c r="AU54" s="689"/>
      <c r="AV54" s="689"/>
      <c r="AW54" s="689"/>
      <c r="AX54" s="689"/>
      <c r="AY54" s="689"/>
      <c r="AZ54" s="689"/>
      <c r="BA54" s="689"/>
      <c r="BB54" s="689"/>
      <c r="BC54" s="689"/>
      <c r="BD54" s="689"/>
      <c r="BE54" s="689"/>
      <c r="BF54" s="689"/>
      <c r="BG54" s="689"/>
      <c r="BH54" s="689"/>
      <c r="BI54" s="689"/>
      <c r="BJ54" s="689"/>
    </row>
    <row r="55" spans="1:62" s="655" customFormat="1" ht="14.25">
      <c r="A55" s="681">
        <f t="shared" si="5"/>
        <v>46</v>
      </c>
      <c r="B55" s="1020" t="s">
        <v>168</v>
      </c>
      <c r="C55" s="688"/>
      <c r="D55" s="688"/>
      <c r="E55" s="685"/>
      <c r="F55" s="685"/>
      <c r="G55" s="685"/>
      <c r="H55" s="685"/>
      <c r="I55" s="685"/>
      <c r="J55" s="685"/>
      <c r="K55" s="685"/>
      <c r="L55" s="685"/>
      <c r="M55" s="685"/>
      <c r="N55" s="685"/>
      <c r="O55" s="685"/>
      <c r="P55" s="685"/>
      <c r="Q55" s="685"/>
      <c r="R55" s="685"/>
      <c r="S55" s="685"/>
      <c r="T55" s="685"/>
      <c r="U55" s="685"/>
      <c r="V55" s="685"/>
      <c r="W55" s="685">
        <v>155000</v>
      </c>
      <c r="X55" s="685">
        <v>2532.7</v>
      </c>
      <c r="Y55" s="685"/>
      <c r="Z55" s="685"/>
      <c r="AA55" s="687">
        <f t="shared" si="4"/>
        <v>157532.7</v>
      </c>
      <c r="AB55" s="689"/>
      <c r="AC55" s="689"/>
      <c r="AD55" s="689"/>
      <c r="AE55" s="689"/>
      <c r="AF55" s="690"/>
      <c r="AG55" s="689"/>
      <c r="AH55" s="689"/>
      <c r="AI55" s="689"/>
      <c r="AK55" s="689"/>
      <c r="AL55" s="689"/>
      <c r="AM55" s="689"/>
      <c r="AN55" s="689"/>
      <c r="AO55" s="689"/>
      <c r="AP55" s="689"/>
      <c r="AQ55" s="689"/>
      <c r="AR55" s="689"/>
      <c r="AS55" s="689"/>
      <c r="AT55" s="689"/>
      <c r="AU55" s="689"/>
      <c r="AV55" s="689"/>
      <c r="AW55" s="689"/>
      <c r="AX55" s="689"/>
      <c r="AY55" s="689"/>
      <c r="AZ55" s="689"/>
      <c r="BA55" s="689"/>
      <c r="BB55" s="689"/>
      <c r="BC55" s="689"/>
      <c r="BD55" s="689"/>
      <c r="BE55" s="689"/>
      <c r="BF55" s="689"/>
      <c r="BG55" s="689"/>
      <c r="BH55" s="689"/>
      <c r="BI55" s="689"/>
      <c r="BJ55" s="689"/>
    </row>
    <row r="56" spans="1:62" s="655" customFormat="1" ht="14.25">
      <c r="A56" s="681">
        <f t="shared" si="5"/>
        <v>47</v>
      </c>
      <c r="B56" s="1020" t="s">
        <v>169</v>
      </c>
      <c r="C56" s="688"/>
      <c r="D56" s="688"/>
      <c r="E56" s="685"/>
      <c r="F56" s="685"/>
      <c r="G56" s="685"/>
      <c r="H56" s="685"/>
      <c r="I56" s="685"/>
      <c r="J56" s="685"/>
      <c r="K56" s="685"/>
      <c r="L56" s="685"/>
      <c r="M56" s="685"/>
      <c r="N56" s="685"/>
      <c r="O56" s="685"/>
      <c r="P56" s="685"/>
      <c r="Q56" s="685"/>
      <c r="R56" s="685"/>
      <c r="S56" s="685"/>
      <c r="T56" s="685"/>
      <c r="U56" s="685"/>
      <c r="V56" s="685"/>
      <c r="W56" s="685">
        <v>708</v>
      </c>
      <c r="X56" s="685">
        <v>5490</v>
      </c>
      <c r="Y56" s="685"/>
      <c r="Z56" s="685"/>
      <c r="AA56" s="687">
        <f t="shared" si="4"/>
        <v>6198</v>
      </c>
      <c r="AB56" s="689"/>
      <c r="AC56" s="689"/>
      <c r="AD56" s="689"/>
      <c r="AE56" s="689"/>
      <c r="AF56" s="690"/>
      <c r="AG56" s="689"/>
      <c r="AH56" s="689"/>
      <c r="AI56" s="689"/>
      <c r="AK56" s="689"/>
      <c r="AL56" s="689"/>
      <c r="AM56" s="689"/>
      <c r="AN56" s="689"/>
      <c r="AO56" s="689"/>
      <c r="AP56" s="689"/>
      <c r="AQ56" s="689"/>
      <c r="AR56" s="689"/>
      <c r="AS56" s="689"/>
      <c r="AT56" s="689"/>
      <c r="AU56" s="689"/>
      <c r="AV56" s="689"/>
      <c r="AW56" s="689"/>
      <c r="AX56" s="689"/>
      <c r="AY56" s="689"/>
      <c r="AZ56" s="689"/>
      <c r="BA56" s="689"/>
      <c r="BB56" s="689"/>
      <c r="BC56" s="689"/>
      <c r="BD56" s="689"/>
      <c r="BE56" s="689"/>
      <c r="BF56" s="689"/>
      <c r="BG56" s="689"/>
      <c r="BH56" s="689"/>
      <c r="BI56" s="689"/>
      <c r="BJ56" s="689"/>
    </row>
    <row r="57" spans="1:62" s="655" customFormat="1" ht="14.25">
      <c r="A57" s="681">
        <f t="shared" si="5"/>
        <v>48</v>
      </c>
      <c r="B57" s="1020" t="s">
        <v>170</v>
      </c>
      <c r="C57" s="688"/>
      <c r="D57" s="688"/>
      <c r="E57" s="685"/>
      <c r="F57" s="685"/>
      <c r="G57" s="685"/>
      <c r="H57" s="685"/>
      <c r="I57" s="685"/>
      <c r="J57" s="685"/>
      <c r="K57" s="685"/>
      <c r="L57" s="685"/>
      <c r="M57" s="685"/>
      <c r="N57" s="685"/>
      <c r="O57" s="685"/>
      <c r="P57" s="685"/>
      <c r="Q57" s="685"/>
      <c r="R57" s="685"/>
      <c r="S57" s="685"/>
      <c r="T57" s="685"/>
      <c r="U57" s="685"/>
      <c r="V57" s="685"/>
      <c r="W57" s="685">
        <v>5446</v>
      </c>
      <c r="X57" s="685"/>
      <c r="Y57" s="685"/>
      <c r="Z57" s="685"/>
      <c r="AA57" s="687">
        <f t="shared" si="4"/>
        <v>5446</v>
      </c>
      <c r="AB57" s="689"/>
      <c r="AC57" s="689"/>
      <c r="AD57" s="689"/>
      <c r="AE57" s="689"/>
      <c r="AF57" s="690"/>
      <c r="AG57" s="689"/>
      <c r="AH57" s="689"/>
      <c r="AI57" s="689"/>
      <c r="AK57" s="689"/>
      <c r="AL57" s="689"/>
      <c r="AM57" s="689"/>
      <c r="AN57" s="689"/>
      <c r="AO57" s="689"/>
      <c r="AP57" s="689"/>
      <c r="AQ57" s="689"/>
      <c r="AR57" s="689"/>
      <c r="AS57" s="689"/>
      <c r="AT57" s="689"/>
      <c r="AU57" s="689"/>
      <c r="AV57" s="689"/>
      <c r="AW57" s="689"/>
      <c r="AX57" s="689"/>
      <c r="AY57" s="689"/>
      <c r="AZ57" s="689"/>
      <c r="BA57" s="689"/>
      <c r="BB57" s="689"/>
      <c r="BC57" s="689"/>
      <c r="BD57" s="689"/>
      <c r="BE57" s="689"/>
      <c r="BF57" s="689"/>
      <c r="BG57" s="689"/>
      <c r="BH57" s="689"/>
      <c r="BI57" s="689"/>
      <c r="BJ57" s="689"/>
    </row>
    <row r="58" spans="1:62" s="655" customFormat="1" ht="14.25">
      <c r="A58" s="681">
        <f t="shared" si="5"/>
        <v>49</v>
      </c>
      <c r="B58" s="1020" t="s">
        <v>171</v>
      </c>
      <c r="C58" s="688"/>
      <c r="D58" s="688"/>
      <c r="E58" s="685"/>
      <c r="F58" s="685"/>
      <c r="G58" s="685"/>
      <c r="H58" s="685"/>
      <c r="I58" s="685"/>
      <c r="J58" s="685"/>
      <c r="K58" s="685"/>
      <c r="L58" s="685"/>
      <c r="M58" s="685"/>
      <c r="N58" s="685"/>
      <c r="O58" s="685"/>
      <c r="P58" s="685"/>
      <c r="Q58" s="685"/>
      <c r="R58" s="685"/>
      <c r="S58" s="685"/>
      <c r="T58" s="685"/>
      <c r="U58" s="685"/>
      <c r="V58" s="685"/>
      <c r="W58" s="685">
        <v>6420</v>
      </c>
      <c r="X58" s="685"/>
      <c r="Y58" s="685"/>
      <c r="Z58" s="685"/>
      <c r="AA58" s="687">
        <f t="shared" si="4"/>
        <v>6420</v>
      </c>
      <c r="AB58" s="689"/>
      <c r="AC58" s="689"/>
      <c r="AD58" s="689"/>
      <c r="AE58" s="689"/>
      <c r="AF58" s="690"/>
      <c r="AG58" s="689"/>
      <c r="AH58" s="689"/>
      <c r="AI58" s="689"/>
      <c r="AK58" s="689"/>
      <c r="AL58" s="689"/>
      <c r="AM58" s="689"/>
      <c r="AN58" s="689"/>
      <c r="AO58" s="689"/>
      <c r="AP58" s="689"/>
      <c r="AQ58" s="689"/>
      <c r="AR58" s="689"/>
      <c r="AS58" s="689"/>
      <c r="AT58" s="689"/>
      <c r="AU58" s="689"/>
      <c r="AV58" s="689"/>
      <c r="AW58" s="689"/>
      <c r="AX58" s="689"/>
      <c r="AY58" s="689"/>
      <c r="AZ58" s="689"/>
      <c r="BA58" s="689"/>
      <c r="BB58" s="689"/>
      <c r="BC58" s="689"/>
      <c r="BD58" s="689"/>
      <c r="BE58" s="689"/>
      <c r="BF58" s="689"/>
      <c r="BG58" s="689"/>
      <c r="BH58" s="689"/>
      <c r="BI58" s="689"/>
      <c r="BJ58" s="689"/>
    </row>
    <row r="59" spans="1:62" s="655" customFormat="1" ht="14.25">
      <c r="A59" s="681">
        <f>+A58+1</f>
        <v>50</v>
      </c>
      <c r="B59" s="1020" t="s">
        <v>172</v>
      </c>
      <c r="C59" s="688"/>
      <c r="D59" s="688"/>
      <c r="E59" s="685"/>
      <c r="F59" s="685"/>
      <c r="G59" s="685"/>
      <c r="H59" s="685"/>
      <c r="I59" s="685"/>
      <c r="J59" s="685"/>
      <c r="K59" s="685"/>
      <c r="L59" s="685"/>
      <c r="M59" s="685"/>
      <c r="N59" s="685"/>
      <c r="O59" s="685"/>
      <c r="P59" s="685"/>
      <c r="Q59" s="685"/>
      <c r="R59" s="685"/>
      <c r="S59" s="685"/>
      <c r="T59" s="685"/>
      <c r="U59" s="685"/>
      <c r="V59" s="685"/>
      <c r="W59" s="685">
        <v>2000</v>
      </c>
      <c r="X59" s="685"/>
      <c r="Y59" s="685"/>
      <c r="Z59" s="685"/>
      <c r="AA59" s="687">
        <f t="shared" si="4"/>
        <v>2000</v>
      </c>
      <c r="AB59" s="689"/>
      <c r="AC59" s="689"/>
      <c r="AD59" s="689"/>
      <c r="AE59" s="689"/>
      <c r="AF59" s="690"/>
      <c r="AG59" s="689"/>
      <c r="AH59" s="689"/>
      <c r="AI59" s="689"/>
      <c r="AK59" s="689"/>
      <c r="AL59" s="689"/>
      <c r="AM59" s="689"/>
      <c r="AN59" s="689"/>
      <c r="AO59" s="689"/>
      <c r="AP59" s="689"/>
      <c r="AQ59" s="689"/>
      <c r="AR59" s="689"/>
      <c r="AS59" s="689"/>
      <c r="AT59" s="689"/>
      <c r="AU59" s="689"/>
      <c r="AV59" s="689"/>
      <c r="AW59" s="689"/>
      <c r="AX59" s="689"/>
      <c r="AY59" s="689"/>
      <c r="AZ59" s="689"/>
      <c r="BA59" s="689"/>
      <c r="BB59" s="689"/>
      <c r="BC59" s="689"/>
      <c r="BD59" s="689"/>
      <c r="BE59" s="689"/>
      <c r="BF59" s="689"/>
      <c r="BG59" s="689"/>
      <c r="BH59" s="689"/>
      <c r="BI59" s="689"/>
      <c r="BJ59" s="689"/>
    </row>
    <row r="60" spans="1:62" s="655" customFormat="1" ht="14.25">
      <c r="A60" s="681">
        <f aca="true" t="shared" si="6" ref="A60:A69">+A59+1</f>
        <v>51</v>
      </c>
      <c r="B60" s="1020" t="s">
        <v>173</v>
      </c>
      <c r="C60" s="688"/>
      <c r="D60" s="688"/>
      <c r="E60" s="685"/>
      <c r="F60" s="685"/>
      <c r="G60" s="685"/>
      <c r="H60" s="685"/>
      <c r="I60" s="685"/>
      <c r="J60" s="685"/>
      <c r="K60" s="685"/>
      <c r="L60" s="685"/>
      <c r="M60" s="685"/>
      <c r="N60" s="685"/>
      <c r="O60" s="685"/>
      <c r="P60" s="685"/>
      <c r="Q60" s="685"/>
      <c r="R60" s="685"/>
      <c r="S60" s="685"/>
      <c r="T60" s="685"/>
      <c r="U60" s="685"/>
      <c r="V60" s="685"/>
      <c r="W60" s="685">
        <v>7709</v>
      </c>
      <c r="X60" s="685"/>
      <c r="Y60" s="685"/>
      <c r="Z60" s="685"/>
      <c r="AA60" s="687">
        <f t="shared" si="4"/>
        <v>7709</v>
      </c>
      <c r="AB60" s="689"/>
      <c r="AC60" s="689"/>
      <c r="AD60" s="689"/>
      <c r="AE60" s="689"/>
      <c r="AF60" s="690"/>
      <c r="AG60" s="689"/>
      <c r="AH60" s="689"/>
      <c r="AI60" s="689"/>
      <c r="AK60" s="689"/>
      <c r="AL60" s="689"/>
      <c r="AM60" s="689"/>
      <c r="AN60" s="689"/>
      <c r="AO60" s="689"/>
      <c r="AP60" s="689"/>
      <c r="AQ60" s="689"/>
      <c r="AR60" s="689"/>
      <c r="AS60" s="689"/>
      <c r="AT60" s="689"/>
      <c r="AU60" s="689"/>
      <c r="AV60" s="689"/>
      <c r="AW60" s="689"/>
      <c r="AX60" s="689"/>
      <c r="AY60" s="689"/>
      <c r="AZ60" s="689"/>
      <c r="BA60" s="689"/>
      <c r="BB60" s="689"/>
      <c r="BC60" s="689"/>
      <c r="BD60" s="689"/>
      <c r="BE60" s="689"/>
      <c r="BF60" s="689"/>
      <c r="BG60" s="689"/>
      <c r="BH60" s="689"/>
      <c r="BI60" s="689"/>
      <c r="BJ60" s="689"/>
    </row>
    <row r="61" spans="1:62" s="655" customFormat="1" ht="14.25">
      <c r="A61" s="681">
        <f t="shared" si="6"/>
        <v>52</v>
      </c>
      <c r="B61" s="1020" t="s">
        <v>174</v>
      </c>
      <c r="C61" s="688"/>
      <c r="D61" s="688"/>
      <c r="E61" s="685"/>
      <c r="F61" s="685"/>
      <c r="G61" s="685"/>
      <c r="H61" s="685"/>
      <c r="I61" s="685"/>
      <c r="J61" s="685"/>
      <c r="K61" s="685"/>
      <c r="L61" s="685"/>
      <c r="M61" s="685"/>
      <c r="N61" s="685"/>
      <c r="O61" s="685"/>
      <c r="P61" s="685"/>
      <c r="Q61" s="685"/>
      <c r="R61" s="685"/>
      <c r="S61" s="685"/>
      <c r="T61" s="685"/>
      <c r="U61" s="685"/>
      <c r="V61" s="685"/>
      <c r="W61" s="685"/>
      <c r="X61" s="685">
        <v>1192.7752</v>
      </c>
      <c r="Y61" s="685"/>
      <c r="Z61" s="685"/>
      <c r="AA61" s="687">
        <f t="shared" si="4"/>
        <v>1192.7752</v>
      </c>
      <c r="AB61" s="689"/>
      <c r="AC61" s="689"/>
      <c r="AD61" s="689"/>
      <c r="AE61" s="689"/>
      <c r="AF61" s="690"/>
      <c r="AG61" s="689"/>
      <c r="AH61" s="689"/>
      <c r="AI61" s="689"/>
      <c r="AK61" s="689"/>
      <c r="AL61" s="689"/>
      <c r="AM61" s="689"/>
      <c r="AN61" s="689"/>
      <c r="AO61" s="689"/>
      <c r="AP61" s="689"/>
      <c r="AQ61" s="689"/>
      <c r="AR61" s="689"/>
      <c r="AS61" s="689"/>
      <c r="AT61" s="689"/>
      <c r="AU61" s="689"/>
      <c r="AV61" s="689"/>
      <c r="AW61" s="689"/>
      <c r="AX61" s="689"/>
      <c r="AY61" s="689"/>
      <c r="AZ61" s="689"/>
      <c r="BA61" s="689"/>
      <c r="BB61" s="689"/>
      <c r="BC61" s="689"/>
      <c r="BD61" s="689"/>
      <c r="BE61" s="689"/>
      <c r="BF61" s="689"/>
      <c r="BG61" s="689"/>
      <c r="BH61" s="689"/>
      <c r="BI61" s="689"/>
      <c r="BJ61" s="689"/>
    </row>
    <row r="62" spans="1:62" s="655" customFormat="1" ht="14.25">
      <c r="A62" s="681">
        <f t="shared" si="6"/>
        <v>53</v>
      </c>
      <c r="B62" s="1020" t="s">
        <v>175</v>
      </c>
      <c r="C62" s="688"/>
      <c r="D62" s="688"/>
      <c r="E62" s="685"/>
      <c r="F62" s="685"/>
      <c r="G62" s="685"/>
      <c r="H62" s="685"/>
      <c r="I62" s="685"/>
      <c r="J62" s="685"/>
      <c r="K62" s="685"/>
      <c r="L62" s="685"/>
      <c r="M62" s="685">
        <v>894</v>
      </c>
      <c r="N62" s="685">
        <v>1554</v>
      </c>
      <c r="O62" s="685">
        <v>644</v>
      </c>
      <c r="P62" s="685">
        <v>311</v>
      </c>
      <c r="Q62" s="685">
        <v>538</v>
      </c>
      <c r="R62" s="685">
        <v>427</v>
      </c>
      <c r="S62" s="685">
        <v>1041</v>
      </c>
      <c r="T62" s="685">
        <v>140</v>
      </c>
      <c r="U62" s="685">
        <v>37</v>
      </c>
      <c r="V62" s="685">
        <v>72</v>
      </c>
      <c r="W62" s="685">
        <v>161</v>
      </c>
      <c r="X62" s="685">
        <v>135</v>
      </c>
      <c r="Y62" s="685">
        <v>101</v>
      </c>
      <c r="Z62" s="685">
        <v>83</v>
      </c>
      <c r="AA62" s="687">
        <f t="shared" si="4"/>
        <v>6138</v>
      </c>
      <c r="AB62" s="689"/>
      <c r="AC62" s="689"/>
      <c r="AD62" s="689"/>
      <c r="AE62" s="689"/>
      <c r="AF62" s="690"/>
      <c r="AG62" s="689"/>
      <c r="AH62" s="689"/>
      <c r="AI62" s="689"/>
      <c r="AK62" s="689"/>
      <c r="AL62" s="689"/>
      <c r="AM62" s="689"/>
      <c r="AN62" s="689"/>
      <c r="AO62" s="689"/>
      <c r="AP62" s="689"/>
      <c r="AQ62" s="689"/>
      <c r="AR62" s="689"/>
      <c r="AS62" s="689"/>
      <c r="AT62" s="689"/>
      <c r="AU62" s="689"/>
      <c r="AV62" s="689"/>
      <c r="AW62" s="689"/>
      <c r="AX62" s="689"/>
      <c r="AY62" s="689"/>
      <c r="AZ62" s="689"/>
      <c r="BA62" s="689"/>
      <c r="BB62" s="689"/>
      <c r="BC62" s="689"/>
      <c r="BD62" s="689"/>
      <c r="BE62" s="689"/>
      <c r="BF62" s="689"/>
      <c r="BG62" s="689"/>
      <c r="BH62" s="689"/>
      <c r="BI62" s="689"/>
      <c r="BJ62" s="689"/>
    </row>
    <row r="63" spans="1:62" s="655" customFormat="1" ht="14.25">
      <c r="A63" s="681">
        <f t="shared" si="6"/>
        <v>54</v>
      </c>
      <c r="B63" s="1020" t="s">
        <v>176</v>
      </c>
      <c r="C63" s="688"/>
      <c r="D63" s="688"/>
      <c r="E63" s="685"/>
      <c r="F63" s="685"/>
      <c r="G63" s="685"/>
      <c r="H63" s="685"/>
      <c r="I63" s="685"/>
      <c r="J63" s="685"/>
      <c r="K63" s="685">
        <v>100</v>
      </c>
      <c r="L63" s="685"/>
      <c r="M63" s="685"/>
      <c r="N63" s="685">
        <v>560</v>
      </c>
      <c r="O63" s="685">
        <v>6696</v>
      </c>
      <c r="P63" s="685">
        <v>5960</v>
      </c>
      <c r="Q63" s="685">
        <v>987</v>
      </c>
      <c r="R63" s="685"/>
      <c r="S63" s="685">
        <v>207</v>
      </c>
      <c r="T63" s="685">
        <v>1622</v>
      </c>
      <c r="U63" s="685">
        <v>8403</v>
      </c>
      <c r="V63" s="685">
        <v>11771</v>
      </c>
      <c r="W63" s="685">
        <v>980</v>
      </c>
      <c r="X63" s="685">
        <v>532</v>
      </c>
      <c r="Y63" s="685">
        <v>761</v>
      </c>
      <c r="Z63" s="685">
        <v>8515.9</v>
      </c>
      <c r="AA63" s="687">
        <f t="shared" si="4"/>
        <v>47094.9</v>
      </c>
      <c r="AB63" s="689"/>
      <c r="AC63" s="689"/>
      <c r="AD63" s="689"/>
      <c r="AE63" s="689"/>
      <c r="AF63" s="690"/>
      <c r="AG63" s="689"/>
      <c r="AH63" s="689"/>
      <c r="AI63" s="689"/>
      <c r="AK63" s="689"/>
      <c r="AL63" s="689"/>
      <c r="AM63" s="689"/>
      <c r="AN63" s="689"/>
      <c r="AO63" s="689"/>
      <c r="AP63" s="689"/>
      <c r="AQ63" s="689"/>
      <c r="AR63" s="689"/>
      <c r="AS63" s="689"/>
      <c r="AT63" s="689"/>
      <c r="AU63" s="689"/>
      <c r="AV63" s="689"/>
      <c r="AW63" s="689"/>
      <c r="AX63" s="689"/>
      <c r="AY63" s="689"/>
      <c r="AZ63" s="689"/>
      <c r="BA63" s="689"/>
      <c r="BB63" s="689"/>
      <c r="BC63" s="689"/>
      <c r="BD63" s="689"/>
      <c r="BE63" s="689"/>
      <c r="BF63" s="689"/>
      <c r="BG63" s="689"/>
      <c r="BH63" s="689"/>
      <c r="BI63" s="689"/>
      <c r="BJ63" s="689"/>
    </row>
    <row r="64" spans="1:62" s="655" customFormat="1" ht="14.25">
      <c r="A64" s="681">
        <f t="shared" si="6"/>
        <v>55</v>
      </c>
      <c r="B64" s="1020" t="s">
        <v>289</v>
      </c>
      <c r="C64" s="688"/>
      <c r="D64" s="688"/>
      <c r="E64" s="685"/>
      <c r="F64" s="685"/>
      <c r="G64" s="685"/>
      <c r="H64" s="685"/>
      <c r="I64" s="685"/>
      <c r="J64" s="682"/>
      <c r="K64" s="682"/>
      <c r="L64" s="682"/>
      <c r="M64" s="685"/>
      <c r="N64" s="685"/>
      <c r="O64" s="685"/>
      <c r="P64" s="685">
        <v>2547</v>
      </c>
      <c r="Q64" s="685">
        <v>1984</v>
      </c>
      <c r="R64" s="685">
        <v>2210</v>
      </c>
      <c r="S64" s="685">
        <v>6114</v>
      </c>
      <c r="T64" s="685">
        <v>4773</v>
      </c>
      <c r="U64" s="685">
        <v>3739</v>
      </c>
      <c r="V64" s="685">
        <v>2443</v>
      </c>
      <c r="W64" s="685">
        <v>7550</v>
      </c>
      <c r="X64" s="685">
        <v>3946</v>
      </c>
      <c r="Y64" s="685">
        <v>2860</v>
      </c>
      <c r="Z64" s="685">
        <v>1546</v>
      </c>
      <c r="AA64" s="687">
        <f t="shared" si="4"/>
        <v>39712</v>
      </c>
      <c r="AB64" s="689"/>
      <c r="AC64" s="689"/>
      <c r="AD64" s="689"/>
      <c r="AE64" s="689"/>
      <c r="AF64" s="690"/>
      <c r="AG64" s="689"/>
      <c r="AH64" s="689"/>
      <c r="AI64" s="689"/>
      <c r="AK64" s="689"/>
      <c r="AL64" s="689"/>
      <c r="AM64" s="689"/>
      <c r="AN64" s="689"/>
      <c r="AO64" s="689"/>
      <c r="AP64" s="689"/>
      <c r="AQ64" s="689"/>
      <c r="AR64" s="689"/>
      <c r="AS64" s="689"/>
      <c r="AT64" s="689"/>
      <c r="AU64" s="689"/>
      <c r="AV64" s="689"/>
      <c r="AW64" s="689"/>
      <c r="AX64" s="689"/>
      <c r="AY64" s="689"/>
      <c r="AZ64" s="689"/>
      <c r="BA64" s="689"/>
      <c r="BB64" s="689"/>
      <c r="BC64" s="689"/>
      <c r="BD64" s="689"/>
      <c r="BE64" s="689"/>
      <c r="BF64" s="689"/>
      <c r="BG64" s="689"/>
      <c r="BH64" s="689"/>
      <c r="BI64" s="689"/>
      <c r="BJ64" s="689"/>
    </row>
    <row r="65" spans="1:62" s="655" customFormat="1" ht="14.25">
      <c r="A65" s="681">
        <f t="shared" si="6"/>
        <v>56</v>
      </c>
      <c r="B65" s="1020" t="s">
        <v>177</v>
      </c>
      <c r="C65" s="688"/>
      <c r="D65" s="688"/>
      <c r="E65" s="685"/>
      <c r="F65" s="685"/>
      <c r="G65" s="685"/>
      <c r="H65" s="685">
        <v>14</v>
      </c>
      <c r="I65" s="685">
        <v>144</v>
      </c>
      <c r="J65" s="682">
        <v>667</v>
      </c>
      <c r="K65" s="682">
        <v>363</v>
      </c>
      <c r="L65" s="685">
        <v>379</v>
      </c>
      <c r="M65" s="685">
        <v>3286</v>
      </c>
      <c r="N65" s="685">
        <v>12544</v>
      </c>
      <c r="O65" s="685">
        <v>4375</v>
      </c>
      <c r="P65" s="685"/>
      <c r="Q65" s="685">
        <v>231</v>
      </c>
      <c r="R65" s="685">
        <v>38.64</v>
      </c>
      <c r="S65" s="685"/>
      <c r="T65" s="685"/>
      <c r="U65" s="685"/>
      <c r="V65" s="685"/>
      <c r="W65" s="685"/>
      <c r="X65" s="685"/>
      <c r="Y65" s="685"/>
      <c r="Z65" s="685"/>
      <c r="AA65" s="687">
        <f t="shared" si="4"/>
        <v>22041.64</v>
      </c>
      <c r="AB65" s="689"/>
      <c r="AC65" s="689"/>
      <c r="AD65" s="689"/>
      <c r="AE65" s="689"/>
      <c r="AF65" s="690"/>
      <c r="AG65" s="689"/>
      <c r="AH65" s="689"/>
      <c r="AI65" s="689"/>
      <c r="AK65" s="689"/>
      <c r="AL65" s="689"/>
      <c r="AM65" s="689"/>
      <c r="AN65" s="689"/>
      <c r="AO65" s="689"/>
      <c r="AP65" s="689"/>
      <c r="AQ65" s="689"/>
      <c r="AR65" s="689"/>
      <c r="AS65" s="689"/>
      <c r="AT65" s="689"/>
      <c r="AU65" s="689"/>
      <c r="AV65" s="689"/>
      <c r="AW65" s="689"/>
      <c r="AX65" s="689"/>
      <c r="AY65" s="689"/>
      <c r="AZ65" s="689"/>
      <c r="BA65" s="689"/>
      <c r="BB65" s="689"/>
      <c r="BC65" s="689"/>
      <c r="BD65" s="689"/>
      <c r="BE65" s="689"/>
      <c r="BF65" s="689"/>
      <c r="BG65" s="689"/>
      <c r="BH65" s="689"/>
      <c r="BI65" s="689"/>
      <c r="BJ65" s="689"/>
    </row>
    <row r="66" spans="1:62" s="655" customFormat="1" ht="14.25">
      <c r="A66" s="681">
        <f t="shared" si="6"/>
        <v>57</v>
      </c>
      <c r="B66" s="1020" t="s">
        <v>178</v>
      </c>
      <c r="C66" s="688"/>
      <c r="D66" s="688"/>
      <c r="E66" s="685"/>
      <c r="F66" s="685"/>
      <c r="G66" s="685"/>
      <c r="H66" s="685"/>
      <c r="I66" s="685"/>
      <c r="J66" s="685"/>
      <c r="K66" s="685"/>
      <c r="L66" s="685"/>
      <c r="M66" s="685"/>
      <c r="N66" s="685"/>
      <c r="O66" s="685">
        <v>302</v>
      </c>
      <c r="P66" s="685">
        <v>153.6</v>
      </c>
      <c r="Q66" s="685">
        <v>195.2</v>
      </c>
      <c r="R66" s="685">
        <v>290</v>
      </c>
      <c r="S66" s="685">
        <v>80.6</v>
      </c>
      <c r="T66" s="685">
        <v>101</v>
      </c>
      <c r="U66" s="685">
        <v>40</v>
      </c>
      <c r="V66" s="685"/>
      <c r="W66" s="685"/>
      <c r="X66" s="685"/>
      <c r="Y66" s="685"/>
      <c r="Z66" s="685"/>
      <c r="AA66" s="687">
        <f t="shared" si="4"/>
        <v>1162.4</v>
      </c>
      <c r="AB66" s="689"/>
      <c r="AC66" s="689"/>
      <c r="AD66" s="689"/>
      <c r="AE66" s="689"/>
      <c r="AF66" s="690"/>
      <c r="AG66" s="689"/>
      <c r="AH66" s="689"/>
      <c r="AI66" s="689"/>
      <c r="AK66" s="689"/>
      <c r="AL66" s="689"/>
      <c r="AM66" s="689"/>
      <c r="AN66" s="689"/>
      <c r="AO66" s="689"/>
      <c r="AP66" s="689"/>
      <c r="AQ66" s="689"/>
      <c r="AR66" s="689"/>
      <c r="AS66" s="689"/>
      <c r="AT66" s="689"/>
      <c r="AU66" s="689"/>
      <c r="AV66" s="689"/>
      <c r="AW66" s="689"/>
      <c r="AX66" s="689"/>
      <c r="AY66" s="689"/>
      <c r="AZ66" s="689"/>
      <c r="BA66" s="689"/>
      <c r="BB66" s="689"/>
      <c r="BC66" s="689"/>
      <c r="BD66" s="689"/>
      <c r="BE66" s="689"/>
      <c r="BF66" s="689"/>
      <c r="BG66" s="689"/>
      <c r="BH66" s="689"/>
      <c r="BI66" s="689"/>
      <c r="BJ66" s="689"/>
    </row>
    <row r="67" spans="1:62" s="655" customFormat="1" ht="14.25">
      <c r="A67" s="681">
        <f t="shared" si="6"/>
        <v>58</v>
      </c>
      <c r="B67" s="1020" t="s">
        <v>179</v>
      </c>
      <c r="C67" s="688"/>
      <c r="D67" s="688"/>
      <c r="E67" s="685"/>
      <c r="F67" s="685"/>
      <c r="G67" s="685"/>
      <c r="H67" s="685"/>
      <c r="I67" s="685"/>
      <c r="J67" s="685"/>
      <c r="K67" s="685"/>
      <c r="L67" s="685"/>
      <c r="M67" s="685"/>
      <c r="N67" s="685"/>
      <c r="O67" s="685"/>
      <c r="P67" s="685"/>
      <c r="Q67" s="685"/>
      <c r="R67" s="685"/>
      <c r="S67" s="685"/>
      <c r="T67" s="685"/>
      <c r="U67" s="685"/>
      <c r="V67" s="685"/>
      <c r="W67" s="685"/>
      <c r="X67" s="685">
        <v>7776.99</v>
      </c>
      <c r="Y67" s="685">
        <v>58466</v>
      </c>
      <c r="Z67" s="685">
        <v>57787</v>
      </c>
      <c r="AA67" s="687">
        <f t="shared" si="4"/>
        <v>124029.99</v>
      </c>
      <c r="AB67" s="689"/>
      <c r="AC67" s="689"/>
      <c r="AD67" s="689"/>
      <c r="AE67" s="689"/>
      <c r="AF67" s="690"/>
      <c r="AG67" s="689"/>
      <c r="AH67" s="689"/>
      <c r="AI67" s="689"/>
      <c r="AK67" s="689"/>
      <c r="AL67" s="689"/>
      <c r="AM67" s="689"/>
      <c r="AN67" s="689"/>
      <c r="AO67" s="689"/>
      <c r="AP67" s="689"/>
      <c r="AQ67" s="689"/>
      <c r="AR67" s="689"/>
      <c r="AS67" s="689"/>
      <c r="AT67" s="689"/>
      <c r="AU67" s="689"/>
      <c r="AV67" s="689"/>
      <c r="AW67" s="689"/>
      <c r="AX67" s="689"/>
      <c r="AY67" s="689"/>
      <c r="AZ67" s="689"/>
      <c r="BA67" s="689"/>
      <c r="BB67" s="689"/>
      <c r="BC67" s="689"/>
      <c r="BD67" s="689"/>
      <c r="BE67" s="689"/>
      <c r="BF67" s="689"/>
      <c r="BG67" s="689"/>
      <c r="BH67" s="689"/>
      <c r="BI67" s="689"/>
      <c r="BJ67" s="689"/>
    </row>
    <row r="68" spans="1:62" s="655" customFormat="1" ht="14.25">
      <c r="A68" s="681">
        <f t="shared" si="6"/>
        <v>59</v>
      </c>
      <c r="B68" s="1020" t="s">
        <v>180</v>
      </c>
      <c r="C68" s="688"/>
      <c r="D68" s="688"/>
      <c r="E68" s="685"/>
      <c r="F68" s="685"/>
      <c r="G68" s="685"/>
      <c r="H68" s="685"/>
      <c r="I68" s="685"/>
      <c r="J68" s="685"/>
      <c r="K68" s="685"/>
      <c r="L68" s="685"/>
      <c r="M68" s="685"/>
      <c r="N68" s="685"/>
      <c r="O68" s="685">
        <v>305</v>
      </c>
      <c r="P68" s="685"/>
      <c r="Q68" s="685">
        <v>3062</v>
      </c>
      <c r="R68" s="685">
        <v>850</v>
      </c>
      <c r="S68" s="685">
        <v>2698</v>
      </c>
      <c r="T68" s="685">
        <v>3688</v>
      </c>
      <c r="U68" s="685">
        <v>1656</v>
      </c>
      <c r="V68" s="685">
        <v>6809</v>
      </c>
      <c r="W68" s="685">
        <v>2259</v>
      </c>
      <c r="X68" s="685">
        <v>6236</v>
      </c>
      <c r="Y68" s="685">
        <v>3570</v>
      </c>
      <c r="Z68" s="685">
        <v>10266</v>
      </c>
      <c r="AA68" s="687">
        <f t="shared" si="4"/>
        <v>41399</v>
      </c>
      <c r="AB68" s="689"/>
      <c r="AC68" s="689"/>
      <c r="AD68" s="689"/>
      <c r="AE68" s="689"/>
      <c r="AF68" s="690"/>
      <c r="AG68" s="689"/>
      <c r="AH68" s="689"/>
      <c r="AI68" s="689"/>
      <c r="AK68" s="689"/>
      <c r="AL68" s="689"/>
      <c r="AM68" s="689"/>
      <c r="AN68" s="689"/>
      <c r="AO68" s="689"/>
      <c r="AP68" s="689"/>
      <c r="AQ68" s="689"/>
      <c r="AR68" s="689"/>
      <c r="AS68" s="689"/>
      <c r="AT68" s="689"/>
      <c r="AU68" s="689"/>
      <c r="AV68" s="689"/>
      <c r="AW68" s="689"/>
      <c r="AX68" s="689"/>
      <c r="AY68" s="689"/>
      <c r="AZ68" s="689"/>
      <c r="BA68" s="689"/>
      <c r="BB68" s="689"/>
      <c r="BC68" s="689"/>
      <c r="BD68" s="689"/>
      <c r="BE68" s="689"/>
      <c r="BF68" s="689"/>
      <c r="BG68" s="689"/>
      <c r="BH68" s="689"/>
      <c r="BI68" s="689"/>
      <c r="BJ68" s="689"/>
    </row>
    <row r="69" spans="1:62" s="655" customFormat="1" ht="14.25">
      <c r="A69" s="681">
        <f t="shared" si="6"/>
        <v>60</v>
      </c>
      <c r="B69" s="1020" t="s">
        <v>249</v>
      </c>
      <c r="C69" s="688"/>
      <c r="D69" s="688"/>
      <c r="E69" s="685"/>
      <c r="F69" s="685"/>
      <c r="G69" s="685"/>
      <c r="H69" s="685"/>
      <c r="I69" s="685"/>
      <c r="J69" s="685"/>
      <c r="K69" s="685"/>
      <c r="L69" s="685"/>
      <c r="M69" s="685"/>
      <c r="N69" s="685"/>
      <c r="O69" s="685"/>
      <c r="P69" s="685"/>
      <c r="Q69" s="685"/>
      <c r="R69" s="685"/>
      <c r="S69" s="685"/>
      <c r="T69" s="685"/>
      <c r="U69" s="685"/>
      <c r="V69" s="685"/>
      <c r="W69" s="685"/>
      <c r="X69" s="685"/>
      <c r="Y69" s="685">
        <v>165391</v>
      </c>
      <c r="Z69" s="685"/>
      <c r="AA69" s="687">
        <f t="shared" si="4"/>
        <v>165391</v>
      </c>
      <c r="AB69" s="689"/>
      <c r="AC69" s="689"/>
      <c r="AD69" s="689"/>
      <c r="AE69" s="689"/>
      <c r="AF69" s="690"/>
      <c r="AG69" s="689"/>
      <c r="AH69" s="689"/>
      <c r="AI69" s="689"/>
      <c r="AK69" s="689"/>
      <c r="AL69" s="689"/>
      <c r="AM69" s="689"/>
      <c r="AN69" s="689"/>
      <c r="AO69" s="689"/>
      <c r="AP69" s="689"/>
      <c r="AQ69" s="689"/>
      <c r="AR69" s="689"/>
      <c r="AS69" s="689"/>
      <c r="AT69" s="689"/>
      <c r="AU69" s="689"/>
      <c r="AV69" s="689"/>
      <c r="AW69" s="689"/>
      <c r="AX69" s="689"/>
      <c r="AY69" s="689"/>
      <c r="AZ69" s="689"/>
      <c r="BA69" s="689"/>
      <c r="BB69" s="689"/>
      <c r="BC69" s="689"/>
      <c r="BD69" s="689"/>
      <c r="BE69" s="689"/>
      <c r="BF69" s="689"/>
      <c r="BG69" s="689"/>
      <c r="BH69" s="689"/>
      <c r="BI69" s="689"/>
      <c r="BJ69" s="689"/>
    </row>
    <row r="70" spans="1:62" s="655" customFormat="1" ht="15" thickBot="1">
      <c r="A70" s="710">
        <f>+A69+1</f>
        <v>61</v>
      </c>
      <c r="B70" s="1019" t="s">
        <v>288</v>
      </c>
      <c r="C70" s="712"/>
      <c r="D70" s="712"/>
      <c r="E70" s="713"/>
      <c r="F70" s="713"/>
      <c r="G70" s="713"/>
      <c r="H70" s="713"/>
      <c r="I70" s="713"/>
      <c r="J70" s="713"/>
      <c r="K70" s="713"/>
      <c r="L70" s="713"/>
      <c r="M70" s="713"/>
      <c r="N70" s="713"/>
      <c r="O70" s="713"/>
      <c r="P70" s="713"/>
      <c r="Q70" s="713"/>
      <c r="R70" s="713"/>
      <c r="S70" s="713"/>
      <c r="T70" s="713"/>
      <c r="U70" s="713"/>
      <c r="V70" s="713"/>
      <c r="W70" s="713"/>
      <c r="X70" s="713"/>
      <c r="Y70" s="713"/>
      <c r="Z70" s="713">
        <v>1388</v>
      </c>
      <c r="AA70" s="714">
        <f t="shared" si="4"/>
        <v>1388</v>
      </c>
      <c r="AB70" s="689"/>
      <c r="AC70" s="689"/>
      <c r="AD70" s="689"/>
      <c r="AE70" s="689"/>
      <c r="AF70" s="690"/>
      <c r="AG70" s="689"/>
      <c r="AH70" s="689"/>
      <c r="AI70" s="689"/>
      <c r="AK70" s="689"/>
      <c r="AL70" s="689"/>
      <c r="AM70" s="689"/>
      <c r="AN70" s="689"/>
      <c r="AO70" s="689"/>
      <c r="AP70" s="689"/>
      <c r="AQ70" s="689"/>
      <c r="AR70" s="689"/>
      <c r="AS70" s="689"/>
      <c r="AT70" s="689"/>
      <c r="AU70" s="689"/>
      <c r="AV70" s="689"/>
      <c r="AW70" s="689"/>
      <c r="AX70" s="689"/>
      <c r="AY70" s="689"/>
      <c r="AZ70" s="689"/>
      <c r="BA70" s="689"/>
      <c r="BB70" s="689"/>
      <c r="BC70" s="689"/>
      <c r="BD70" s="689"/>
      <c r="BE70" s="689"/>
      <c r="BF70" s="689"/>
      <c r="BG70" s="689"/>
      <c r="BH70" s="689"/>
      <c r="BI70" s="689"/>
      <c r="BJ70" s="689"/>
    </row>
    <row r="71" spans="1:62" ht="15" thickBot="1">
      <c r="A71" s="1163" t="s">
        <v>0</v>
      </c>
      <c r="B71" s="1164"/>
      <c r="C71" s="696"/>
      <c r="D71" s="697"/>
      <c r="E71" s="698"/>
      <c r="F71" s="698"/>
      <c r="G71" s="699">
        <f aca="true" t="shared" si="7" ref="G71:P71">SUM(G10:G53)</f>
        <v>31478.89</v>
      </c>
      <c r="H71" s="699">
        <f t="shared" si="7"/>
        <v>7634.63</v>
      </c>
      <c r="I71" s="699">
        <f t="shared" si="7"/>
        <v>97607.45999999999</v>
      </c>
      <c r="J71" s="699">
        <f t="shared" si="7"/>
        <v>239539.95500000002</v>
      </c>
      <c r="K71" s="699">
        <f t="shared" si="7"/>
        <v>250346.128</v>
      </c>
      <c r="L71" s="698">
        <f t="shared" si="7"/>
        <v>280451.419</v>
      </c>
      <c r="M71" s="698">
        <f t="shared" si="7"/>
        <v>208222</v>
      </c>
      <c r="N71" s="698">
        <f t="shared" si="7"/>
        <v>18828.1</v>
      </c>
      <c r="O71" s="698">
        <f t="shared" si="7"/>
        <v>17720</v>
      </c>
      <c r="P71" s="699">
        <f t="shared" si="7"/>
        <v>11088</v>
      </c>
      <c r="Q71" s="699">
        <f>SUM(Q10:Q64)</f>
        <v>89077</v>
      </c>
      <c r="R71" s="699">
        <f>SUM(R10:R64)</f>
        <v>138546</v>
      </c>
      <c r="S71" s="699">
        <f>SUM(S10:S53)</f>
        <v>250116</v>
      </c>
      <c r="T71" s="698">
        <f>SUM(T10:T53)</f>
        <v>233692</v>
      </c>
      <c r="U71" s="699">
        <f>SUM(U10:U53)</f>
        <v>442564</v>
      </c>
      <c r="V71" s="699">
        <f>SUM(V10:V53)</f>
        <v>337283</v>
      </c>
      <c r="W71" s="699">
        <f>SUM(W10:W68)</f>
        <v>533520</v>
      </c>
      <c r="X71" s="699">
        <f>SUM(X10:X69)</f>
        <v>1212192.3652000001</v>
      </c>
      <c r="Y71" s="698">
        <f>SUM(Y10:Y69)</f>
        <v>1746129.66045</v>
      </c>
      <c r="Z71" s="868">
        <f>SUM(Z10:Z70)</f>
        <v>1700408.7</v>
      </c>
      <c r="AA71" s="700">
        <f>SUM(AA10:AA70)</f>
        <v>7950714.34765</v>
      </c>
      <c r="AB71" s="701"/>
      <c r="AC71" s="702"/>
      <c r="AD71" s="702"/>
      <c r="AE71" s="702"/>
      <c r="AF71" s="703"/>
      <c r="AG71" s="702"/>
      <c r="AH71" s="702"/>
      <c r="AI71" s="702"/>
      <c r="AK71" s="702"/>
      <c r="AL71" s="702"/>
      <c r="AM71" s="702"/>
      <c r="AN71" s="702"/>
      <c r="AO71" s="702"/>
      <c r="AP71" s="702"/>
      <c r="AQ71" s="702"/>
      <c r="AR71" s="702"/>
      <c r="AS71" s="702"/>
      <c r="AT71" s="702"/>
      <c r="AU71" s="702"/>
      <c r="AV71" s="702"/>
      <c r="AW71" s="702"/>
      <c r="AX71" s="702"/>
      <c r="AY71" s="702"/>
      <c r="AZ71" s="702"/>
      <c r="BA71" s="702"/>
      <c r="BB71" s="702"/>
      <c r="BC71" s="702"/>
      <c r="BD71" s="702"/>
      <c r="BE71" s="702"/>
      <c r="BF71" s="702"/>
      <c r="BG71" s="702"/>
      <c r="BH71" s="702"/>
      <c r="BI71" s="702"/>
      <c r="BJ71" s="702"/>
    </row>
    <row r="72" spans="1:62" s="703" customFormat="1" ht="15" thickBot="1">
      <c r="A72" s="704"/>
      <c r="B72" s="704"/>
      <c r="C72" s="705"/>
      <c r="D72" s="705"/>
      <c r="E72" s="706"/>
      <c r="F72" s="706"/>
      <c r="G72" s="706"/>
      <c r="H72" s="706"/>
      <c r="I72" s="706"/>
      <c r="J72" s="706"/>
      <c r="K72" s="706"/>
      <c r="L72" s="706"/>
      <c r="M72" s="706"/>
      <c r="N72" s="706"/>
      <c r="O72" s="706"/>
      <c r="P72" s="706"/>
      <c r="Q72" s="706"/>
      <c r="R72" s="706"/>
      <c r="S72" s="706"/>
      <c r="T72" s="706"/>
      <c r="U72" s="706"/>
      <c r="V72" s="706"/>
      <c r="W72" s="706"/>
      <c r="X72" s="706"/>
      <c r="Y72" s="706"/>
      <c r="Z72" s="706"/>
      <c r="AA72" s="707"/>
      <c r="AB72" s="701"/>
      <c r="AC72" s="702"/>
      <c r="AD72" s="702"/>
      <c r="AE72" s="702"/>
      <c r="AG72" s="702"/>
      <c r="AH72" s="702"/>
      <c r="AI72" s="702"/>
      <c r="AK72" s="702"/>
      <c r="AL72" s="702"/>
      <c r="AM72" s="702"/>
      <c r="AN72" s="702"/>
      <c r="AO72" s="702"/>
      <c r="AP72" s="702"/>
      <c r="AQ72" s="702"/>
      <c r="AR72" s="702"/>
      <c r="AS72" s="702"/>
      <c r="AT72" s="702"/>
      <c r="AU72" s="702"/>
      <c r="AV72" s="702"/>
      <c r="AW72" s="702"/>
      <c r="AX72" s="702"/>
      <c r="AY72" s="702"/>
      <c r="AZ72" s="702"/>
      <c r="BA72" s="702"/>
      <c r="BB72" s="702"/>
      <c r="BC72" s="702"/>
      <c r="BD72" s="702"/>
      <c r="BE72" s="702"/>
      <c r="BF72" s="702"/>
      <c r="BG72" s="702"/>
      <c r="BH72" s="702"/>
      <c r="BI72" s="702"/>
      <c r="BJ72" s="702"/>
    </row>
    <row r="73" spans="1:62" ht="16.5" thickBot="1">
      <c r="A73" s="945" t="s">
        <v>137</v>
      </c>
      <c r="B73" s="946" t="s">
        <v>181</v>
      </c>
      <c r="C73" s="939">
        <v>1990</v>
      </c>
      <c r="D73" s="940">
        <v>1991</v>
      </c>
      <c r="E73" s="940">
        <v>1992</v>
      </c>
      <c r="F73" s="940">
        <v>1993</v>
      </c>
      <c r="G73" s="940">
        <v>1994</v>
      </c>
      <c r="H73" s="940">
        <v>1995</v>
      </c>
      <c r="I73" s="940">
        <v>1996</v>
      </c>
      <c r="J73" s="940">
        <v>1997</v>
      </c>
      <c r="K73" s="940">
        <v>1998</v>
      </c>
      <c r="L73" s="940">
        <v>1999</v>
      </c>
      <c r="M73" s="939">
        <v>2000</v>
      </c>
      <c r="N73" s="939">
        <v>2001</v>
      </c>
      <c r="O73" s="939">
        <v>2002</v>
      </c>
      <c r="P73" s="939">
        <v>2003</v>
      </c>
      <c r="Q73" s="939">
        <v>2004</v>
      </c>
      <c r="R73" s="939">
        <v>2005</v>
      </c>
      <c r="S73" s="939">
        <v>2006</v>
      </c>
      <c r="T73" s="939">
        <v>2007</v>
      </c>
      <c r="U73" s="939">
        <v>2008</v>
      </c>
      <c r="V73" s="941">
        <v>2009</v>
      </c>
      <c r="W73" s="942">
        <v>2010</v>
      </c>
      <c r="X73" s="942">
        <v>2011</v>
      </c>
      <c r="Y73" s="943">
        <v>2012</v>
      </c>
      <c r="Z73" s="943">
        <v>2013</v>
      </c>
      <c r="AA73" s="944" t="s">
        <v>0</v>
      </c>
      <c r="AB73" s="702"/>
      <c r="AC73" s="702"/>
      <c r="AD73" s="702"/>
      <c r="AE73" s="702"/>
      <c r="AF73" s="703"/>
      <c r="AG73" s="702"/>
      <c r="AH73" s="702"/>
      <c r="AI73" s="702"/>
      <c r="AK73" s="702"/>
      <c r="AL73" s="702"/>
      <c r="AM73" s="702"/>
      <c r="AN73" s="702"/>
      <c r="AO73" s="702"/>
      <c r="AP73" s="702"/>
      <c r="AQ73" s="702"/>
      <c r="AR73" s="702"/>
      <c r="AS73" s="702"/>
      <c r="AT73" s="702"/>
      <c r="AU73" s="702"/>
      <c r="AV73" s="702"/>
      <c r="AW73" s="702"/>
      <c r="AX73" s="702"/>
      <c r="AY73" s="702"/>
      <c r="AZ73" s="702"/>
      <c r="BA73" s="702"/>
      <c r="BB73" s="702"/>
      <c r="BC73" s="702"/>
      <c r="BD73" s="702"/>
      <c r="BE73" s="702"/>
      <c r="BF73" s="702"/>
      <c r="BG73" s="702"/>
      <c r="BH73" s="702"/>
      <c r="BI73" s="702"/>
      <c r="BJ73" s="702"/>
    </row>
    <row r="74" spans="1:62" s="655" customFormat="1" ht="14.25">
      <c r="A74" s="673">
        <v>1</v>
      </c>
      <c r="B74" s="674" t="s">
        <v>292</v>
      </c>
      <c r="C74" s="708"/>
      <c r="D74" s="708"/>
      <c r="E74" s="709"/>
      <c r="F74" s="709"/>
      <c r="G74" s="709"/>
      <c r="H74" s="709"/>
      <c r="I74" s="709"/>
      <c r="J74" s="709"/>
      <c r="K74" s="709"/>
      <c r="L74" s="709"/>
      <c r="M74" s="709"/>
      <c r="N74" s="676">
        <v>10000</v>
      </c>
      <c r="O74" s="676"/>
      <c r="P74" s="676"/>
      <c r="Q74" s="676"/>
      <c r="R74" s="676"/>
      <c r="S74" s="676"/>
      <c r="T74" s="676"/>
      <c r="U74" s="676"/>
      <c r="V74" s="676">
        <v>175572</v>
      </c>
      <c r="W74" s="676">
        <v>107319</v>
      </c>
      <c r="X74" s="677">
        <v>31802</v>
      </c>
      <c r="Y74" s="677">
        <v>290270</v>
      </c>
      <c r="Z74" s="677">
        <v>72287.4</v>
      </c>
      <c r="AA74" s="678">
        <f>SUM(C74:Z74)</f>
        <v>687250.4</v>
      </c>
      <c r="AB74" s="689"/>
      <c r="AC74" s="689"/>
      <c r="AD74" s="689"/>
      <c r="AE74" s="689"/>
      <c r="AF74" s="690"/>
      <c r="AG74" s="689"/>
      <c r="AH74" s="689"/>
      <c r="AI74" s="689"/>
      <c r="AK74" s="689"/>
      <c r="AL74" s="689"/>
      <c r="AM74" s="689"/>
      <c r="AN74" s="689"/>
      <c r="AO74" s="689"/>
      <c r="AP74" s="689"/>
      <c r="AQ74" s="689"/>
      <c r="AR74" s="689"/>
      <c r="AS74" s="689"/>
      <c r="AT74" s="689"/>
      <c r="AU74" s="689"/>
      <c r="AV74" s="689"/>
      <c r="AW74" s="689"/>
      <c r="AX74" s="689"/>
      <c r="AY74" s="689"/>
      <c r="AZ74" s="689"/>
      <c r="BA74" s="689"/>
      <c r="BB74" s="689"/>
      <c r="BC74" s="689"/>
      <c r="BD74" s="689"/>
      <c r="BE74" s="689"/>
      <c r="BF74" s="689"/>
      <c r="BG74" s="689"/>
      <c r="BH74" s="689"/>
      <c r="BI74" s="689"/>
      <c r="BJ74" s="689"/>
    </row>
    <row r="75" spans="1:62" s="655" customFormat="1" ht="14.25">
      <c r="A75" s="681">
        <f aca="true" t="shared" si="8" ref="A75:A84">A74+1</f>
        <v>2</v>
      </c>
      <c r="B75" s="682" t="s">
        <v>182</v>
      </c>
      <c r="C75" s="683"/>
      <c r="D75" s="683"/>
      <c r="E75" s="684"/>
      <c r="F75" s="684"/>
      <c r="G75" s="684"/>
      <c r="H75" s="684"/>
      <c r="I75" s="684"/>
      <c r="J75" s="684"/>
      <c r="K75" s="684"/>
      <c r="L75" s="684"/>
      <c r="M75" s="684"/>
      <c r="N75" s="685"/>
      <c r="O75" s="685"/>
      <c r="P75" s="685"/>
      <c r="Q75" s="685"/>
      <c r="R75" s="685">
        <v>1394</v>
      </c>
      <c r="S75" s="685"/>
      <c r="T75" s="685"/>
      <c r="U75" s="685"/>
      <c r="V75" s="685">
        <v>3113</v>
      </c>
      <c r="W75" s="685">
        <v>0</v>
      </c>
      <c r="X75" s="686">
        <v>0</v>
      </c>
      <c r="Y75" s="686"/>
      <c r="Z75" s="686"/>
      <c r="AA75" s="687">
        <f aca="true" t="shared" si="9" ref="AA75:AA84">SUM(C75:Z75)</f>
        <v>4507</v>
      </c>
      <c r="AB75" s="689"/>
      <c r="AC75" s="689"/>
      <c r="AD75" s="689"/>
      <c r="AE75" s="689"/>
      <c r="AF75" s="690"/>
      <c r="AG75" s="689"/>
      <c r="AH75" s="689"/>
      <c r="AI75" s="689"/>
      <c r="AK75" s="689"/>
      <c r="AL75" s="689"/>
      <c r="AM75" s="689"/>
      <c r="AN75" s="689"/>
      <c r="AO75" s="689"/>
      <c r="AP75" s="689"/>
      <c r="AQ75" s="689"/>
      <c r="AR75" s="689"/>
      <c r="AS75" s="689"/>
      <c r="AT75" s="689"/>
      <c r="AU75" s="689"/>
      <c r="AV75" s="689"/>
      <c r="AW75" s="689"/>
      <c r="AX75" s="689"/>
      <c r="AY75" s="689"/>
      <c r="AZ75" s="689"/>
      <c r="BA75" s="689"/>
      <c r="BB75" s="689"/>
      <c r="BC75" s="689"/>
      <c r="BD75" s="689"/>
      <c r="BE75" s="689"/>
      <c r="BF75" s="689"/>
      <c r="BG75" s="689"/>
      <c r="BH75" s="689"/>
      <c r="BI75" s="689"/>
      <c r="BJ75" s="689"/>
    </row>
    <row r="76" spans="1:62" s="655" customFormat="1" ht="14.25">
      <c r="A76" s="681">
        <f t="shared" si="8"/>
        <v>3</v>
      </c>
      <c r="B76" s="682" t="s">
        <v>183</v>
      </c>
      <c r="C76" s="683"/>
      <c r="D76" s="683"/>
      <c r="E76" s="684"/>
      <c r="F76" s="684"/>
      <c r="G76" s="684"/>
      <c r="H76" s="684"/>
      <c r="I76" s="684"/>
      <c r="J76" s="684"/>
      <c r="K76" s="684"/>
      <c r="L76" s="684"/>
      <c r="M76" s="684"/>
      <c r="N76" s="685">
        <v>13513</v>
      </c>
      <c r="O76" s="685"/>
      <c r="P76" s="685">
        <v>341</v>
      </c>
      <c r="Q76" s="685">
        <v>9017</v>
      </c>
      <c r="R76" s="685">
        <v>92</v>
      </c>
      <c r="S76" s="685">
        <v>1179</v>
      </c>
      <c r="T76" s="685">
        <v>3612</v>
      </c>
      <c r="U76" s="685">
        <v>3248</v>
      </c>
      <c r="V76" s="685">
        <v>271</v>
      </c>
      <c r="W76" s="685">
        <v>0</v>
      </c>
      <c r="X76" s="686">
        <v>0</v>
      </c>
      <c r="Y76" s="686"/>
      <c r="Z76" s="686"/>
      <c r="AA76" s="687">
        <f t="shared" si="9"/>
        <v>31273</v>
      </c>
      <c r="AB76" s="689"/>
      <c r="AC76" s="689"/>
      <c r="AD76" s="689"/>
      <c r="AE76" s="689"/>
      <c r="AF76" s="690"/>
      <c r="AG76" s="689"/>
      <c r="AH76" s="689"/>
      <c r="AI76" s="689"/>
      <c r="AK76" s="689"/>
      <c r="AL76" s="689"/>
      <c r="AM76" s="689"/>
      <c r="AN76" s="689"/>
      <c r="AO76" s="689"/>
      <c r="AP76" s="689"/>
      <c r="AQ76" s="689"/>
      <c r="AR76" s="689"/>
      <c r="AS76" s="689"/>
      <c r="AT76" s="689"/>
      <c r="AU76" s="689"/>
      <c r="AV76" s="689"/>
      <c r="AW76" s="689"/>
      <c r="AX76" s="689"/>
      <c r="AY76" s="689"/>
      <c r="AZ76" s="689"/>
      <c r="BA76" s="689"/>
      <c r="BB76" s="689"/>
      <c r="BC76" s="689"/>
      <c r="BD76" s="689"/>
      <c r="BE76" s="689"/>
      <c r="BF76" s="689"/>
      <c r="BG76" s="689"/>
      <c r="BH76" s="689"/>
      <c r="BI76" s="689"/>
      <c r="BJ76" s="689"/>
    </row>
    <row r="77" spans="1:62" s="655" customFormat="1" ht="14.25">
      <c r="A77" s="681">
        <f t="shared" si="8"/>
        <v>4</v>
      </c>
      <c r="B77" s="682" t="s">
        <v>184</v>
      </c>
      <c r="C77" s="683"/>
      <c r="D77" s="683"/>
      <c r="E77" s="684"/>
      <c r="F77" s="684"/>
      <c r="G77" s="684"/>
      <c r="H77" s="684"/>
      <c r="I77" s="684"/>
      <c r="J77" s="684"/>
      <c r="K77" s="684"/>
      <c r="L77" s="684"/>
      <c r="M77" s="684"/>
      <c r="N77" s="685"/>
      <c r="O77" s="685"/>
      <c r="P77" s="685"/>
      <c r="Q77" s="685"/>
      <c r="R77" s="685">
        <v>5549.29</v>
      </c>
      <c r="S77" s="685">
        <v>217.14</v>
      </c>
      <c r="T77" s="685">
        <v>40</v>
      </c>
      <c r="U77" s="685">
        <v>495</v>
      </c>
      <c r="V77" s="685">
        <v>850</v>
      </c>
      <c r="W77" s="685">
        <v>0</v>
      </c>
      <c r="X77" s="686">
        <v>0</v>
      </c>
      <c r="Y77" s="686"/>
      <c r="Z77" s="686"/>
      <c r="AA77" s="687">
        <f t="shared" si="9"/>
        <v>7151.43</v>
      </c>
      <c r="AB77" s="689"/>
      <c r="AC77" s="689"/>
      <c r="AD77" s="689"/>
      <c r="AE77" s="689"/>
      <c r="AF77" s="690"/>
      <c r="AG77" s="689"/>
      <c r="AH77" s="689"/>
      <c r="AI77" s="689"/>
      <c r="AK77" s="689"/>
      <c r="AL77" s="689"/>
      <c r="AM77" s="689"/>
      <c r="AN77" s="689"/>
      <c r="AO77" s="689"/>
      <c r="AP77" s="689"/>
      <c r="AQ77" s="689"/>
      <c r="AR77" s="689"/>
      <c r="AS77" s="689"/>
      <c r="AT77" s="689"/>
      <c r="AU77" s="689"/>
      <c r="AV77" s="689"/>
      <c r="AW77" s="689"/>
      <c r="AX77" s="689"/>
      <c r="AY77" s="689"/>
      <c r="AZ77" s="689"/>
      <c r="BA77" s="689"/>
      <c r="BB77" s="689"/>
      <c r="BC77" s="689"/>
      <c r="BD77" s="689"/>
      <c r="BE77" s="689"/>
      <c r="BF77" s="689"/>
      <c r="BG77" s="689"/>
      <c r="BH77" s="689"/>
      <c r="BI77" s="689"/>
      <c r="BJ77" s="689"/>
    </row>
    <row r="78" spans="1:35" s="655" customFormat="1" ht="14.25">
      <c r="A78" s="681">
        <f t="shared" si="8"/>
        <v>5</v>
      </c>
      <c r="B78" s="682" t="s">
        <v>185</v>
      </c>
      <c r="C78" s="688"/>
      <c r="D78" s="688"/>
      <c r="E78" s="685"/>
      <c r="F78" s="685"/>
      <c r="G78" s="685"/>
      <c r="H78" s="685"/>
      <c r="I78" s="685"/>
      <c r="J78" s="682"/>
      <c r="K78" s="685">
        <v>13488</v>
      </c>
      <c r="L78" s="685">
        <v>115580</v>
      </c>
      <c r="M78" s="685">
        <v>50111</v>
      </c>
      <c r="N78" s="685">
        <v>22851</v>
      </c>
      <c r="O78" s="685">
        <v>2376</v>
      </c>
      <c r="P78" s="685">
        <v>1170</v>
      </c>
      <c r="Q78" s="685">
        <v>75</v>
      </c>
      <c r="R78" s="685">
        <v>184</v>
      </c>
      <c r="S78" s="685">
        <v>131.97</v>
      </c>
      <c r="T78" s="685">
        <v>17</v>
      </c>
      <c r="U78" s="685">
        <v>10254</v>
      </c>
      <c r="V78" s="685">
        <v>56789</v>
      </c>
      <c r="W78" s="685">
        <v>166210</v>
      </c>
      <c r="X78" s="686">
        <v>196365</v>
      </c>
      <c r="Y78" s="686">
        <v>133506</v>
      </c>
      <c r="Z78" s="686">
        <v>80297</v>
      </c>
      <c r="AA78" s="687">
        <f t="shared" si="9"/>
        <v>849404.97</v>
      </c>
      <c r="AB78" s="689"/>
      <c r="AC78" s="690"/>
      <c r="AD78" s="690"/>
      <c r="AE78" s="690"/>
      <c r="AF78" s="690"/>
      <c r="AG78" s="690"/>
      <c r="AH78" s="690"/>
      <c r="AI78" s="690"/>
    </row>
    <row r="79" spans="1:35" s="655" customFormat="1" ht="14.25">
      <c r="A79" s="681">
        <f t="shared" si="8"/>
        <v>6</v>
      </c>
      <c r="B79" s="682" t="s">
        <v>186</v>
      </c>
      <c r="C79" s="688"/>
      <c r="D79" s="688"/>
      <c r="E79" s="685"/>
      <c r="F79" s="685"/>
      <c r="G79" s="685"/>
      <c r="H79" s="685"/>
      <c r="I79" s="685"/>
      <c r="J79" s="682"/>
      <c r="K79" s="685"/>
      <c r="L79" s="685"/>
      <c r="M79" s="685"/>
      <c r="N79" s="685"/>
      <c r="O79" s="685"/>
      <c r="P79" s="685"/>
      <c r="Q79" s="685"/>
      <c r="R79" s="685"/>
      <c r="S79" s="685"/>
      <c r="T79" s="685"/>
      <c r="U79" s="685"/>
      <c r="V79" s="685">
        <v>53</v>
      </c>
      <c r="W79" s="685">
        <v>14</v>
      </c>
      <c r="X79" s="686">
        <v>27</v>
      </c>
      <c r="Y79" s="686"/>
      <c r="Z79" s="686"/>
      <c r="AA79" s="687">
        <f t="shared" si="9"/>
        <v>94</v>
      </c>
      <c r="AB79" s="690"/>
      <c r="AC79" s="690"/>
      <c r="AD79" s="690"/>
      <c r="AE79" s="690"/>
      <c r="AF79" s="690"/>
      <c r="AG79" s="690"/>
      <c r="AH79" s="690"/>
      <c r="AI79" s="690"/>
    </row>
    <row r="80" spans="1:35" s="655" customFormat="1" ht="14.25">
      <c r="A80" s="681">
        <f t="shared" si="8"/>
        <v>7</v>
      </c>
      <c r="B80" s="682" t="s">
        <v>187</v>
      </c>
      <c r="C80" s="688"/>
      <c r="D80" s="688"/>
      <c r="E80" s="685"/>
      <c r="F80" s="685"/>
      <c r="G80" s="685"/>
      <c r="H80" s="685"/>
      <c r="I80" s="685"/>
      <c r="J80" s="682"/>
      <c r="K80" s="685"/>
      <c r="L80" s="685"/>
      <c r="M80" s="685"/>
      <c r="N80" s="685"/>
      <c r="O80" s="685">
        <v>693</v>
      </c>
      <c r="P80" s="685">
        <v>15.7</v>
      </c>
      <c r="Q80" s="685"/>
      <c r="R80" s="685"/>
      <c r="S80" s="685"/>
      <c r="T80" s="685"/>
      <c r="U80" s="685"/>
      <c r="V80" s="685">
        <v>509</v>
      </c>
      <c r="W80" s="685">
        <v>162</v>
      </c>
      <c r="X80" s="686">
        <v>126</v>
      </c>
      <c r="Y80" s="686">
        <v>5</v>
      </c>
      <c r="Z80" s="686">
        <v>7</v>
      </c>
      <c r="AA80" s="687">
        <f t="shared" si="9"/>
        <v>1517.7</v>
      </c>
      <c r="AB80" s="690"/>
      <c r="AC80" s="690"/>
      <c r="AD80" s="690"/>
      <c r="AE80" s="690"/>
      <c r="AF80" s="690"/>
      <c r="AG80" s="690"/>
      <c r="AH80" s="690"/>
      <c r="AI80" s="690"/>
    </row>
    <row r="81" spans="1:35" s="655" customFormat="1" ht="14.25">
      <c r="A81" s="681">
        <f t="shared" si="8"/>
        <v>8</v>
      </c>
      <c r="B81" s="682" t="s">
        <v>188</v>
      </c>
      <c r="C81" s="688"/>
      <c r="D81" s="688"/>
      <c r="E81" s="685"/>
      <c r="F81" s="685"/>
      <c r="G81" s="685"/>
      <c r="H81" s="685"/>
      <c r="I81" s="685"/>
      <c r="J81" s="682"/>
      <c r="K81" s="685"/>
      <c r="L81" s="685"/>
      <c r="M81" s="685"/>
      <c r="N81" s="685"/>
      <c r="O81" s="685">
        <v>30275</v>
      </c>
      <c r="P81" s="685">
        <v>102</v>
      </c>
      <c r="Q81" s="685">
        <v>18</v>
      </c>
      <c r="R81" s="685">
        <v>47</v>
      </c>
      <c r="S81" s="685">
        <v>247</v>
      </c>
      <c r="T81" s="685">
        <v>25.8</v>
      </c>
      <c r="U81" s="685">
        <v>33</v>
      </c>
      <c r="V81" s="685">
        <v>20</v>
      </c>
      <c r="W81" s="685">
        <v>3521</v>
      </c>
      <c r="X81" s="686">
        <v>56</v>
      </c>
      <c r="Y81" s="686">
        <v>141</v>
      </c>
      <c r="Z81" s="686">
        <v>1715</v>
      </c>
      <c r="AA81" s="687">
        <f t="shared" si="9"/>
        <v>36200.8</v>
      </c>
      <c r="AB81" s="690"/>
      <c r="AC81" s="690"/>
      <c r="AD81" s="690"/>
      <c r="AE81" s="690"/>
      <c r="AF81" s="690"/>
      <c r="AG81" s="690"/>
      <c r="AH81" s="690"/>
      <c r="AI81" s="690"/>
    </row>
    <row r="82" spans="1:35" s="655" customFormat="1" ht="14.25">
      <c r="A82" s="681">
        <f t="shared" si="8"/>
        <v>9</v>
      </c>
      <c r="B82" s="682" t="s">
        <v>189</v>
      </c>
      <c r="C82" s="688"/>
      <c r="D82" s="688"/>
      <c r="E82" s="685"/>
      <c r="F82" s="685"/>
      <c r="G82" s="685"/>
      <c r="H82" s="685"/>
      <c r="I82" s="685"/>
      <c r="J82" s="682"/>
      <c r="K82" s="685"/>
      <c r="L82" s="685"/>
      <c r="M82" s="685"/>
      <c r="N82" s="685"/>
      <c r="O82" s="685"/>
      <c r="P82" s="685"/>
      <c r="Q82" s="685"/>
      <c r="R82" s="685">
        <v>3642.94</v>
      </c>
      <c r="S82" s="685">
        <v>1125.34</v>
      </c>
      <c r="T82" s="685">
        <v>21.1</v>
      </c>
      <c r="U82" s="685">
        <v>259</v>
      </c>
      <c r="V82" s="685">
        <v>275</v>
      </c>
      <c r="W82" s="685">
        <v>0</v>
      </c>
      <c r="X82" s="686">
        <v>0</v>
      </c>
      <c r="Y82" s="686"/>
      <c r="Z82" s="686"/>
      <c r="AA82" s="687">
        <f t="shared" si="9"/>
        <v>5323.38</v>
      </c>
      <c r="AB82" s="690"/>
      <c r="AC82" s="690"/>
      <c r="AD82" s="690"/>
      <c r="AE82" s="690"/>
      <c r="AF82" s="690"/>
      <c r="AG82" s="690"/>
      <c r="AH82" s="690"/>
      <c r="AI82" s="690"/>
    </row>
    <row r="83" spans="1:35" s="655" customFormat="1" ht="14.25">
      <c r="A83" s="681">
        <f t="shared" si="8"/>
        <v>10</v>
      </c>
      <c r="B83" s="682" t="s">
        <v>250</v>
      </c>
      <c r="C83" s="688"/>
      <c r="D83" s="688"/>
      <c r="E83" s="685"/>
      <c r="F83" s="685"/>
      <c r="G83" s="685"/>
      <c r="H83" s="685"/>
      <c r="I83" s="685"/>
      <c r="J83" s="682"/>
      <c r="K83" s="685"/>
      <c r="L83" s="685"/>
      <c r="M83" s="685"/>
      <c r="N83" s="685"/>
      <c r="O83" s="685">
        <v>1380</v>
      </c>
      <c r="P83" s="685">
        <v>8535</v>
      </c>
      <c r="Q83" s="685">
        <v>12130</v>
      </c>
      <c r="R83" s="685">
        <v>8259</v>
      </c>
      <c r="S83" s="685">
        <v>13643</v>
      </c>
      <c r="T83" s="685">
        <v>65920</v>
      </c>
      <c r="U83" s="685">
        <v>28817</v>
      </c>
      <c r="V83" s="685">
        <v>16731</v>
      </c>
      <c r="W83" s="685">
        <v>54628</v>
      </c>
      <c r="X83" s="686">
        <v>50170</v>
      </c>
      <c r="Y83" s="686">
        <v>46299</v>
      </c>
      <c r="Z83" s="686">
        <v>33575</v>
      </c>
      <c r="AA83" s="687">
        <f t="shared" si="9"/>
        <v>340087</v>
      </c>
      <c r="AB83" s="690"/>
      <c r="AC83" s="690"/>
      <c r="AD83" s="690"/>
      <c r="AE83" s="690"/>
      <c r="AF83" s="690"/>
      <c r="AG83" s="690"/>
      <c r="AH83" s="690"/>
      <c r="AI83" s="690"/>
    </row>
    <row r="84" spans="1:35" s="655" customFormat="1" ht="15" thickBot="1">
      <c r="A84" s="710">
        <f t="shared" si="8"/>
        <v>11</v>
      </c>
      <c r="B84" s="711" t="s">
        <v>251</v>
      </c>
      <c r="C84" s="712"/>
      <c r="D84" s="712"/>
      <c r="E84" s="713"/>
      <c r="F84" s="713"/>
      <c r="G84" s="713"/>
      <c r="H84" s="713"/>
      <c r="I84" s="713"/>
      <c r="J84" s="711"/>
      <c r="K84" s="711"/>
      <c r="L84" s="713">
        <v>23908.72</v>
      </c>
      <c r="M84" s="713">
        <v>52138</v>
      </c>
      <c r="N84" s="713">
        <v>12263</v>
      </c>
      <c r="O84" s="713">
        <v>2556</v>
      </c>
      <c r="P84" s="713">
        <v>2661.91</v>
      </c>
      <c r="Q84" s="713">
        <v>3125.86</v>
      </c>
      <c r="R84" s="713">
        <v>1465.67</v>
      </c>
      <c r="S84" s="713"/>
      <c r="T84" s="713"/>
      <c r="U84" s="713"/>
      <c r="V84" s="713">
        <v>180</v>
      </c>
      <c r="W84" s="713">
        <v>703</v>
      </c>
      <c r="X84" s="695">
        <v>0</v>
      </c>
      <c r="Y84" s="695">
        <v>49</v>
      </c>
      <c r="Z84" s="695">
        <v>532</v>
      </c>
      <c r="AA84" s="714">
        <f t="shared" si="9"/>
        <v>99583.16</v>
      </c>
      <c r="AB84" s="690"/>
      <c r="AC84" s="690"/>
      <c r="AD84" s="690"/>
      <c r="AE84" s="690"/>
      <c r="AF84" s="690"/>
      <c r="AG84" s="690"/>
      <c r="AH84" s="690"/>
      <c r="AI84" s="690"/>
    </row>
    <row r="85" spans="1:35" s="655" customFormat="1" ht="15" thickBot="1">
      <c r="A85" s="1165" t="s">
        <v>0</v>
      </c>
      <c r="B85" s="1166"/>
      <c r="C85" s="715"/>
      <c r="D85" s="716"/>
      <c r="E85" s="717"/>
      <c r="F85" s="717"/>
      <c r="G85" s="717"/>
      <c r="H85" s="717"/>
      <c r="I85" s="717"/>
      <c r="J85" s="718"/>
      <c r="K85" s="717">
        <f aca="true" t="shared" si="10" ref="K85:S85">SUM(K74:K84)</f>
        <v>13488</v>
      </c>
      <c r="L85" s="717">
        <f t="shared" si="10"/>
        <v>139488.72</v>
      </c>
      <c r="M85" s="717">
        <f t="shared" si="10"/>
        <v>102249</v>
      </c>
      <c r="N85" s="717">
        <f t="shared" si="10"/>
        <v>58627</v>
      </c>
      <c r="O85" s="717">
        <f t="shared" si="10"/>
        <v>37280</v>
      </c>
      <c r="P85" s="719">
        <f t="shared" si="10"/>
        <v>12825.61</v>
      </c>
      <c r="Q85" s="717">
        <f t="shared" si="10"/>
        <v>24365.86</v>
      </c>
      <c r="R85" s="719">
        <f t="shared" si="10"/>
        <v>20633.9</v>
      </c>
      <c r="S85" s="719">
        <f t="shared" si="10"/>
        <v>16543.45</v>
      </c>
      <c r="T85" s="719">
        <f aca="true" t="shared" si="11" ref="T85:AA85">SUM(T74:T84)</f>
        <v>69635.9</v>
      </c>
      <c r="U85" s="719">
        <f t="shared" si="11"/>
        <v>43106</v>
      </c>
      <c r="V85" s="719">
        <f t="shared" si="11"/>
        <v>254363</v>
      </c>
      <c r="W85" s="720">
        <f t="shared" si="11"/>
        <v>332557</v>
      </c>
      <c r="X85" s="720">
        <f t="shared" si="11"/>
        <v>278546</v>
      </c>
      <c r="Y85" s="720">
        <f t="shared" si="11"/>
        <v>470270</v>
      </c>
      <c r="Z85" s="720">
        <f t="shared" si="11"/>
        <v>188413.4</v>
      </c>
      <c r="AA85" s="721">
        <f t="shared" si="11"/>
        <v>2062392.8399999999</v>
      </c>
      <c r="AB85" s="679"/>
      <c r="AC85" s="690"/>
      <c r="AD85" s="690"/>
      <c r="AE85" s="690"/>
      <c r="AF85" s="690"/>
      <c r="AG85" s="690"/>
      <c r="AH85" s="690"/>
      <c r="AI85" s="690"/>
    </row>
    <row r="86" spans="1:28" s="690" customFormat="1" ht="15" thickBot="1">
      <c r="A86" s="722"/>
      <c r="B86" s="722"/>
      <c r="C86" s="679"/>
      <c r="D86" s="679"/>
      <c r="E86" s="723"/>
      <c r="F86" s="723"/>
      <c r="G86" s="723"/>
      <c r="H86" s="723"/>
      <c r="I86" s="723"/>
      <c r="J86" s="724"/>
      <c r="K86" s="723"/>
      <c r="L86" s="723"/>
      <c r="M86" s="723"/>
      <c r="N86" s="723"/>
      <c r="O86" s="723"/>
      <c r="P86" s="723"/>
      <c r="Q86" s="723"/>
      <c r="R86" s="723"/>
      <c r="S86" s="723"/>
      <c r="T86" s="723"/>
      <c r="U86" s="723"/>
      <c r="V86" s="723"/>
      <c r="W86" s="723"/>
      <c r="X86" s="723"/>
      <c r="Y86" s="723"/>
      <c r="Z86" s="723"/>
      <c r="AA86" s="725"/>
      <c r="AB86" s="679"/>
    </row>
    <row r="87" spans="1:35" s="655" customFormat="1" ht="16.5" thickBot="1">
      <c r="A87" s="945" t="s">
        <v>137</v>
      </c>
      <c r="B87" s="946" t="s">
        <v>190</v>
      </c>
      <c r="C87" s="939">
        <v>1990</v>
      </c>
      <c r="D87" s="940">
        <v>1991</v>
      </c>
      <c r="E87" s="940">
        <v>1992</v>
      </c>
      <c r="F87" s="940">
        <v>1993</v>
      </c>
      <c r="G87" s="940">
        <v>1994</v>
      </c>
      <c r="H87" s="940">
        <v>1995</v>
      </c>
      <c r="I87" s="940">
        <v>1996</v>
      </c>
      <c r="J87" s="940">
        <v>1997</v>
      </c>
      <c r="K87" s="940">
        <v>1998</v>
      </c>
      <c r="L87" s="940">
        <v>1999</v>
      </c>
      <c r="M87" s="939">
        <v>2000</v>
      </c>
      <c r="N87" s="939">
        <v>2001</v>
      </c>
      <c r="O87" s="939">
        <v>2002</v>
      </c>
      <c r="P87" s="939">
        <v>2003</v>
      </c>
      <c r="Q87" s="939">
        <v>2004</v>
      </c>
      <c r="R87" s="939">
        <v>2005</v>
      </c>
      <c r="S87" s="939">
        <v>2006</v>
      </c>
      <c r="T87" s="939">
        <v>2007</v>
      </c>
      <c r="U87" s="939">
        <v>2008</v>
      </c>
      <c r="V87" s="941">
        <v>2009</v>
      </c>
      <c r="W87" s="942">
        <v>2010</v>
      </c>
      <c r="X87" s="942">
        <v>2011</v>
      </c>
      <c r="Y87" s="943">
        <v>2012</v>
      </c>
      <c r="Z87" s="943">
        <v>2013</v>
      </c>
      <c r="AA87" s="944" t="s">
        <v>0</v>
      </c>
      <c r="AB87" s="690"/>
      <c r="AC87" s="690"/>
      <c r="AD87" s="690"/>
      <c r="AE87" s="690"/>
      <c r="AF87" s="690"/>
      <c r="AG87" s="690"/>
      <c r="AH87" s="690"/>
      <c r="AI87" s="690"/>
    </row>
    <row r="88" spans="1:35" s="655" customFormat="1" ht="14.25">
      <c r="A88" s="673">
        <v>1</v>
      </c>
      <c r="B88" s="674" t="s">
        <v>191</v>
      </c>
      <c r="C88" s="675"/>
      <c r="D88" s="675"/>
      <c r="E88" s="676"/>
      <c r="F88" s="676"/>
      <c r="G88" s="676"/>
      <c r="H88" s="676"/>
      <c r="I88" s="674"/>
      <c r="J88" s="674"/>
      <c r="K88" s="674"/>
      <c r="L88" s="676">
        <v>281.1</v>
      </c>
      <c r="M88" s="676">
        <v>856</v>
      </c>
      <c r="N88" s="676">
        <v>36591.3</v>
      </c>
      <c r="O88" s="676">
        <v>491</v>
      </c>
      <c r="P88" s="676">
        <v>179.5</v>
      </c>
      <c r="Q88" s="676">
        <v>567.9</v>
      </c>
      <c r="R88" s="676">
        <v>632</v>
      </c>
      <c r="S88" s="676">
        <v>924</v>
      </c>
      <c r="T88" s="676">
        <v>1318.67</v>
      </c>
      <c r="U88" s="676">
        <v>1268</v>
      </c>
      <c r="V88" s="676">
        <v>2798</v>
      </c>
      <c r="W88" s="676">
        <v>3663</v>
      </c>
      <c r="X88" s="677">
        <v>1624</v>
      </c>
      <c r="Y88" s="677">
        <v>2051</v>
      </c>
      <c r="Z88" s="677">
        <v>1588.4</v>
      </c>
      <c r="AA88" s="678">
        <f>SUM(C88:Z88)</f>
        <v>54833.87</v>
      </c>
      <c r="AB88" s="690"/>
      <c r="AC88" s="690"/>
      <c r="AD88" s="690"/>
      <c r="AE88" s="690"/>
      <c r="AF88" s="689"/>
      <c r="AG88" s="690"/>
      <c r="AH88" s="690"/>
      <c r="AI88" s="690"/>
    </row>
    <row r="89" spans="1:35" s="655" customFormat="1" ht="14.25">
      <c r="A89" s="681">
        <f aca="true" t="shared" si="12" ref="A89:A101">A88+1</f>
        <v>2</v>
      </c>
      <c r="B89" s="682" t="s">
        <v>252</v>
      </c>
      <c r="C89" s="688"/>
      <c r="D89" s="688"/>
      <c r="E89" s="685"/>
      <c r="F89" s="685"/>
      <c r="G89" s="685"/>
      <c r="H89" s="685"/>
      <c r="I89" s="685"/>
      <c r="J89" s="685"/>
      <c r="K89" s="685"/>
      <c r="L89" s="685"/>
      <c r="M89" s="685">
        <v>222</v>
      </c>
      <c r="N89" s="685">
        <v>239</v>
      </c>
      <c r="O89" s="685">
        <v>509</v>
      </c>
      <c r="P89" s="685">
        <v>458</v>
      </c>
      <c r="Q89" s="685">
        <v>1588</v>
      </c>
      <c r="R89" s="685">
        <v>4575</v>
      </c>
      <c r="S89" s="685">
        <v>1826</v>
      </c>
      <c r="T89" s="685">
        <v>1004</v>
      </c>
      <c r="U89" s="685">
        <v>900</v>
      </c>
      <c r="V89" s="685">
        <v>1196</v>
      </c>
      <c r="W89" s="685">
        <v>1345</v>
      </c>
      <c r="X89" s="686">
        <v>1664</v>
      </c>
      <c r="Y89" s="686">
        <v>3282</v>
      </c>
      <c r="Z89" s="686">
        <v>1135</v>
      </c>
      <c r="AA89" s="687">
        <f aca="true" t="shared" si="13" ref="AA89:AA101">SUM(C89:Z89)</f>
        <v>19943</v>
      </c>
      <c r="AB89" s="689"/>
      <c r="AC89" s="689"/>
      <c r="AD89" s="689"/>
      <c r="AE89" s="690"/>
      <c r="AF89" s="689"/>
      <c r="AG89" s="690"/>
      <c r="AH89" s="690"/>
      <c r="AI89" s="690"/>
    </row>
    <row r="90" spans="1:35" s="655" customFormat="1" ht="14.25">
      <c r="A90" s="681">
        <f t="shared" si="12"/>
        <v>3</v>
      </c>
      <c r="B90" s="682" t="s">
        <v>192</v>
      </c>
      <c r="C90" s="688"/>
      <c r="D90" s="688"/>
      <c r="E90" s="685"/>
      <c r="F90" s="685"/>
      <c r="G90" s="685">
        <f>9021</f>
        <v>9021</v>
      </c>
      <c r="H90" s="685">
        <v>23889</v>
      </c>
      <c r="I90" s="685">
        <v>53642</v>
      </c>
      <c r="J90" s="685">
        <v>56848</v>
      </c>
      <c r="K90" s="685">
        <v>30900</v>
      </c>
      <c r="L90" s="685">
        <v>41037</v>
      </c>
      <c r="M90" s="685">
        <v>36000</v>
      </c>
      <c r="N90" s="685">
        <v>40011</v>
      </c>
      <c r="O90" s="685">
        <v>30160</v>
      </c>
      <c r="P90" s="685">
        <v>22213</v>
      </c>
      <c r="Q90" s="685">
        <v>18722</v>
      </c>
      <c r="R90" s="685">
        <v>27752</v>
      </c>
      <c r="S90" s="685">
        <v>38969</v>
      </c>
      <c r="T90" s="685">
        <v>43501</v>
      </c>
      <c r="U90" s="685">
        <v>69483</v>
      </c>
      <c r="V90" s="685">
        <v>61766</v>
      </c>
      <c r="W90" s="685">
        <v>48070</v>
      </c>
      <c r="X90" s="686">
        <v>80274</v>
      </c>
      <c r="Y90" s="686">
        <v>112415</v>
      </c>
      <c r="Z90" s="686">
        <v>118281</v>
      </c>
      <c r="AA90" s="687">
        <f t="shared" si="13"/>
        <v>962954</v>
      </c>
      <c r="AB90" s="689"/>
      <c r="AC90" s="689"/>
      <c r="AD90" s="689"/>
      <c r="AE90" s="690"/>
      <c r="AF90" s="689"/>
      <c r="AG90" s="690"/>
      <c r="AH90" s="690"/>
      <c r="AI90" s="690"/>
    </row>
    <row r="91" spans="1:35" s="655" customFormat="1" ht="14.25" customHeight="1">
      <c r="A91" s="681">
        <f t="shared" si="12"/>
        <v>4</v>
      </c>
      <c r="B91" s="682" t="s">
        <v>193</v>
      </c>
      <c r="C91" s="688"/>
      <c r="D91" s="688"/>
      <c r="E91" s="685"/>
      <c r="F91" s="685"/>
      <c r="G91" s="685"/>
      <c r="H91" s="685"/>
      <c r="I91" s="685"/>
      <c r="J91" s="685"/>
      <c r="K91" s="685"/>
      <c r="L91" s="685"/>
      <c r="M91" s="685">
        <v>24</v>
      </c>
      <c r="N91" s="685"/>
      <c r="O91" s="685"/>
      <c r="P91" s="685"/>
      <c r="Q91" s="685"/>
      <c r="R91" s="685"/>
      <c r="S91" s="685"/>
      <c r="T91" s="685"/>
      <c r="U91" s="685"/>
      <c r="V91" s="685"/>
      <c r="W91" s="685">
        <v>35</v>
      </c>
      <c r="X91" s="686">
        <v>26.6</v>
      </c>
      <c r="Y91" s="686">
        <v>70</v>
      </c>
      <c r="Z91" s="686"/>
      <c r="AA91" s="687">
        <f t="shared" si="13"/>
        <v>155.6</v>
      </c>
      <c r="AB91" s="690"/>
      <c r="AC91" s="690"/>
      <c r="AD91" s="690"/>
      <c r="AE91" s="690"/>
      <c r="AF91" s="690"/>
      <c r="AG91" s="690"/>
      <c r="AH91" s="690"/>
      <c r="AI91" s="690"/>
    </row>
    <row r="92" spans="1:35" s="655" customFormat="1" ht="14.25">
      <c r="A92" s="681">
        <f t="shared" si="12"/>
        <v>5</v>
      </c>
      <c r="B92" s="682" t="s">
        <v>194</v>
      </c>
      <c r="C92" s="688"/>
      <c r="D92" s="688"/>
      <c r="E92" s="685"/>
      <c r="F92" s="685"/>
      <c r="G92" s="685"/>
      <c r="H92" s="685"/>
      <c r="I92" s="682"/>
      <c r="J92" s="682"/>
      <c r="K92" s="685">
        <v>1285</v>
      </c>
      <c r="L92" s="685">
        <v>1190</v>
      </c>
      <c r="M92" s="685">
        <v>20337</v>
      </c>
      <c r="N92" s="685">
        <v>2232</v>
      </c>
      <c r="O92" s="685"/>
      <c r="P92" s="685"/>
      <c r="Q92" s="685"/>
      <c r="R92" s="685"/>
      <c r="S92" s="685"/>
      <c r="T92" s="685"/>
      <c r="U92" s="685"/>
      <c r="V92" s="685"/>
      <c r="W92" s="685"/>
      <c r="X92" s="686"/>
      <c r="Y92" s="686"/>
      <c r="Z92" s="686"/>
      <c r="AA92" s="687">
        <f t="shared" si="13"/>
        <v>25044</v>
      </c>
      <c r="AB92" s="689"/>
      <c r="AC92" s="689"/>
      <c r="AD92" s="689"/>
      <c r="AE92" s="689"/>
      <c r="AF92" s="689"/>
      <c r="AG92" s="689"/>
      <c r="AH92" s="689"/>
      <c r="AI92" s="690"/>
    </row>
    <row r="93" spans="1:35" s="655" customFormat="1" ht="14.25">
      <c r="A93" s="681">
        <f t="shared" si="12"/>
        <v>6</v>
      </c>
      <c r="B93" s="682" t="s">
        <v>195</v>
      </c>
      <c r="C93" s="688"/>
      <c r="D93" s="688"/>
      <c r="E93" s="685"/>
      <c r="F93" s="685"/>
      <c r="G93" s="685"/>
      <c r="H93" s="685"/>
      <c r="I93" s="682"/>
      <c r="J93" s="685">
        <v>3330</v>
      </c>
      <c r="K93" s="685">
        <v>4169</v>
      </c>
      <c r="L93" s="685">
        <v>2487</v>
      </c>
      <c r="M93" s="685">
        <v>3356</v>
      </c>
      <c r="N93" s="685">
        <v>1847</v>
      </c>
      <c r="O93" s="685">
        <v>935</v>
      </c>
      <c r="P93" s="685">
        <v>586</v>
      </c>
      <c r="Q93" s="685">
        <v>236</v>
      </c>
      <c r="R93" s="685">
        <v>1495.08</v>
      </c>
      <c r="S93" s="685">
        <v>2109</v>
      </c>
      <c r="T93" s="685">
        <v>2243</v>
      </c>
      <c r="U93" s="685">
        <v>14750</v>
      </c>
      <c r="V93" s="685">
        <v>15656</v>
      </c>
      <c r="W93" s="685">
        <v>11111</v>
      </c>
      <c r="X93" s="686">
        <v>6826</v>
      </c>
      <c r="Y93" s="686">
        <v>7109</v>
      </c>
      <c r="Z93" s="686">
        <v>14212</v>
      </c>
      <c r="AA93" s="687">
        <f t="shared" si="13"/>
        <v>92457.08</v>
      </c>
      <c r="AB93" s="690"/>
      <c r="AC93" s="690"/>
      <c r="AD93" s="690"/>
      <c r="AE93" s="690"/>
      <c r="AF93" s="690"/>
      <c r="AG93" s="690"/>
      <c r="AH93" s="690"/>
      <c r="AI93" s="690"/>
    </row>
    <row r="94" spans="1:35" s="655" customFormat="1" ht="14.25">
      <c r="A94" s="681">
        <f t="shared" si="12"/>
        <v>7</v>
      </c>
      <c r="B94" s="682" t="s">
        <v>196</v>
      </c>
      <c r="C94" s="688"/>
      <c r="D94" s="688"/>
      <c r="E94" s="685"/>
      <c r="F94" s="685"/>
      <c r="G94" s="685"/>
      <c r="H94" s="685"/>
      <c r="I94" s="685"/>
      <c r="J94" s="685"/>
      <c r="K94" s="685">
        <v>11467</v>
      </c>
      <c r="L94" s="685">
        <v>11192</v>
      </c>
      <c r="M94" s="685">
        <v>4478</v>
      </c>
      <c r="N94" s="685">
        <v>1605</v>
      </c>
      <c r="O94" s="685"/>
      <c r="P94" s="685"/>
      <c r="Q94" s="685"/>
      <c r="R94" s="685"/>
      <c r="S94" s="685"/>
      <c r="T94" s="685"/>
      <c r="U94" s="685"/>
      <c r="V94" s="685"/>
      <c r="W94" s="685"/>
      <c r="X94" s="686"/>
      <c r="Y94" s="686"/>
      <c r="Z94" s="686"/>
      <c r="AA94" s="687">
        <f t="shared" si="13"/>
        <v>28742</v>
      </c>
      <c r="AB94" s="690"/>
      <c r="AC94" s="690"/>
      <c r="AD94" s="690"/>
      <c r="AE94" s="690"/>
      <c r="AF94" s="690"/>
      <c r="AG94" s="690"/>
      <c r="AH94" s="690"/>
      <c r="AI94" s="690"/>
    </row>
    <row r="95" spans="1:35" s="655" customFormat="1" ht="14.25">
      <c r="A95" s="681">
        <f t="shared" si="12"/>
        <v>8</v>
      </c>
      <c r="B95" s="682" t="s">
        <v>197</v>
      </c>
      <c r="C95" s="688"/>
      <c r="D95" s="688"/>
      <c r="E95" s="685"/>
      <c r="F95" s="685"/>
      <c r="G95" s="685"/>
      <c r="H95" s="685"/>
      <c r="I95" s="682"/>
      <c r="J95" s="682"/>
      <c r="K95" s="685">
        <v>4179</v>
      </c>
      <c r="L95" s="685">
        <v>2379</v>
      </c>
      <c r="M95" s="685">
        <v>1878</v>
      </c>
      <c r="N95" s="685">
        <v>1970.4</v>
      </c>
      <c r="O95" s="685"/>
      <c r="P95" s="685"/>
      <c r="Q95" s="685"/>
      <c r="R95" s="685"/>
      <c r="S95" s="685"/>
      <c r="T95" s="685"/>
      <c r="U95" s="685"/>
      <c r="V95" s="685"/>
      <c r="W95" s="685"/>
      <c r="X95" s="686"/>
      <c r="Y95" s="686"/>
      <c r="Z95" s="686"/>
      <c r="AA95" s="687">
        <f t="shared" si="13"/>
        <v>10406.4</v>
      </c>
      <c r="AB95" s="689"/>
      <c r="AC95" s="689"/>
      <c r="AD95" s="689"/>
      <c r="AE95" s="690"/>
      <c r="AF95" s="690"/>
      <c r="AG95" s="690"/>
      <c r="AH95" s="690"/>
      <c r="AI95" s="690"/>
    </row>
    <row r="96" spans="1:61" s="655" customFormat="1" ht="25.5" customHeight="1">
      <c r="A96" s="681">
        <f t="shared" si="12"/>
        <v>9</v>
      </c>
      <c r="B96" s="726" t="s">
        <v>198</v>
      </c>
      <c r="C96" s="688"/>
      <c r="D96" s="688"/>
      <c r="E96" s="685"/>
      <c r="F96" s="685"/>
      <c r="G96" s="685"/>
      <c r="H96" s="685"/>
      <c r="I96" s="685"/>
      <c r="J96" s="685"/>
      <c r="K96" s="685"/>
      <c r="L96" s="685">
        <v>17</v>
      </c>
      <c r="M96" s="685">
        <v>13</v>
      </c>
      <c r="N96" s="685">
        <v>2.49</v>
      </c>
      <c r="O96" s="685"/>
      <c r="P96" s="685"/>
      <c r="Q96" s="685"/>
      <c r="R96" s="685"/>
      <c r="S96" s="685"/>
      <c r="T96" s="685"/>
      <c r="U96" s="685"/>
      <c r="V96" s="685"/>
      <c r="W96" s="685"/>
      <c r="X96" s="686"/>
      <c r="Y96" s="686"/>
      <c r="Z96" s="686"/>
      <c r="AA96" s="687">
        <f t="shared" si="13"/>
        <v>32.49</v>
      </c>
      <c r="AB96" s="689"/>
      <c r="AC96" s="689"/>
      <c r="AD96" s="689"/>
      <c r="AE96" s="689"/>
      <c r="AF96" s="689"/>
      <c r="AG96" s="689"/>
      <c r="AH96" s="689"/>
      <c r="AI96" s="689"/>
      <c r="AK96" s="727"/>
      <c r="AL96" s="727"/>
      <c r="AM96" s="727"/>
      <c r="AN96" s="727"/>
      <c r="AO96" s="727"/>
      <c r="AP96" s="727"/>
      <c r="AQ96" s="727"/>
      <c r="AR96" s="727"/>
      <c r="AS96" s="727"/>
      <c r="AT96" s="727"/>
      <c r="AU96" s="727"/>
      <c r="AV96" s="727"/>
      <c r="AW96" s="727"/>
      <c r="AX96" s="727"/>
      <c r="AY96" s="727"/>
      <c r="AZ96" s="727"/>
      <c r="BA96" s="727"/>
      <c r="BB96" s="727"/>
      <c r="BC96" s="727"/>
      <c r="BD96" s="727"/>
      <c r="BE96" s="727"/>
      <c r="BF96" s="727"/>
      <c r="BG96" s="727"/>
      <c r="BH96" s="727"/>
      <c r="BI96" s="727"/>
    </row>
    <row r="97" spans="1:61" s="655" customFormat="1" ht="12.75" customHeight="1">
      <c r="A97" s="728">
        <f t="shared" si="12"/>
        <v>10</v>
      </c>
      <c r="B97" s="726" t="s">
        <v>199</v>
      </c>
      <c r="C97" s="688"/>
      <c r="D97" s="688"/>
      <c r="E97" s="685"/>
      <c r="F97" s="685"/>
      <c r="G97" s="685"/>
      <c r="H97" s="685"/>
      <c r="I97" s="685"/>
      <c r="J97" s="685"/>
      <c r="K97" s="685"/>
      <c r="L97" s="685"/>
      <c r="M97" s="685">
        <v>160</v>
      </c>
      <c r="N97" s="685"/>
      <c r="O97" s="685">
        <v>85</v>
      </c>
      <c r="P97" s="685"/>
      <c r="Q97" s="685"/>
      <c r="R97" s="685"/>
      <c r="S97" s="685"/>
      <c r="T97" s="685"/>
      <c r="U97" s="685"/>
      <c r="V97" s="685"/>
      <c r="W97" s="685"/>
      <c r="X97" s="686"/>
      <c r="Y97" s="686"/>
      <c r="Z97" s="686"/>
      <c r="AA97" s="687">
        <f t="shared" si="13"/>
        <v>245</v>
      </c>
      <c r="AB97" s="689"/>
      <c r="AC97" s="689"/>
      <c r="AD97" s="689"/>
      <c r="AE97" s="689"/>
      <c r="AF97" s="689"/>
      <c r="AG97" s="689"/>
      <c r="AH97" s="689"/>
      <c r="AI97" s="689"/>
      <c r="AK97" s="727"/>
      <c r="AL97" s="727"/>
      <c r="AM97" s="727"/>
      <c r="AN97" s="727"/>
      <c r="AO97" s="727"/>
      <c r="AP97" s="727"/>
      <c r="AQ97" s="727"/>
      <c r="AR97" s="727"/>
      <c r="AS97" s="727"/>
      <c r="AT97" s="727"/>
      <c r="AU97" s="727"/>
      <c r="AV97" s="727"/>
      <c r="AW97" s="727"/>
      <c r="AX97" s="727"/>
      <c r="AY97" s="727"/>
      <c r="AZ97" s="727"/>
      <c r="BA97" s="727"/>
      <c r="BB97" s="727"/>
      <c r="BC97" s="727"/>
      <c r="BD97" s="727"/>
      <c r="BE97" s="727"/>
      <c r="BF97" s="727"/>
      <c r="BG97" s="727"/>
      <c r="BH97" s="727"/>
      <c r="BI97" s="727"/>
    </row>
    <row r="98" spans="1:61" s="655" customFormat="1" ht="28.5" customHeight="1">
      <c r="A98" s="728">
        <f t="shared" si="12"/>
        <v>11</v>
      </c>
      <c r="B98" s="726" t="s">
        <v>200</v>
      </c>
      <c r="C98" s="688"/>
      <c r="D98" s="688"/>
      <c r="E98" s="685"/>
      <c r="F98" s="685"/>
      <c r="G98" s="685"/>
      <c r="H98" s="685"/>
      <c r="I98" s="685">
        <v>11.71</v>
      </c>
      <c r="J98" s="685">
        <v>8.96</v>
      </c>
      <c r="K98" s="685">
        <v>8.96</v>
      </c>
      <c r="L98" s="685">
        <v>37.43</v>
      </c>
      <c r="M98" s="685">
        <v>133</v>
      </c>
      <c r="N98" s="685"/>
      <c r="O98" s="685"/>
      <c r="P98" s="685"/>
      <c r="Q98" s="685"/>
      <c r="R98" s="685"/>
      <c r="S98" s="685"/>
      <c r="T98" s="685"/>
      <c r="U98" s="685"/>
      <c r="V98" s="685"/>
      <c r="W98" s="685"/>
      <c r="X98" s="686"/>
      <c r="Y98" s="686"/>
      <c r="Z98" s="686"/>
      <c r="AA98" s="687">
        <f t="shared" si="13"/>
        <v>200.06</v>
      </c>
      <c r="AB98" s="689"/>
      <c r="AC98" s="689"/>
      <c r="AD98" s="689"/>
      <c r="AE98" s="689"/>
      <c r="AF98" s="689"/>
      <c r="AG98" s="689"/>
      <c r="AH98" s="689"/>
      <c r="AI98" s="689"/>
      <c r="AK98" s="727"/>
      <c r="AL98" s="727"/>
      <c r="AM98" s="727"/>
      <c r="AN98" s="727"/>
      <c r="AO98" s="727"/>
      <c r="AP98" s="727"/>
      <c r="AQ98" s="727"/>
      <c r="AR98" s="727"/>
      <c r="AS98" s="727"/>
      <c r="AT98" s="727"/>
      <c r="AU98" s="727"/>
      <c r="AV98" s="727"/>
      <c r="AW98" s="727"/>
      <c r="AX98" s="727"/>
      <c r="AY98" s="727"/>
      <c r="AZ98" s="727"/>
      <c r="BA98" s="727"/>
      <c r="BB98" s="727"/>
      <c r="BC98" s="727"/>
      <c r="BD98" s="727"/>
      <c r="BE98" s="727"/>
      <c r="BF98" s="727"/>
      <c r="BG98" s="727"/>
      <c r="BH98" s="727"/>
      <c r="BI98" s="727"/>
    </row>
    <row r="99" spans="1:61" s="655" customFormat="1" ht="13.5" customHeight="1">
      <c r="A99" s="728">
        <f t="shared" si="12"/>
        <v>12</v>
      </c>
      <c r="B99" s="682" t="s">
        <v>201</v>
      </c>
      <c r="C99" s="688"/>
      <c r="D99" s="688"/>
      <c r="E99" s="685"/>
      <c r="F99" s="685"/>
      <c r="G99" s="685"/>
      <c r="H99" s="685"/>
      <c r="I99" s="682"/>
      <c r="J99" s="682"/>
      <c r="K99" s="685">
        <v>1196</v>
      </c>
      <c r="L99" s="685"/>
      <c r="M99" s="685">
        <v>28761</v>
      </c>
      <c r="N99" s="685">
        <v>4799</v>
      </c>
      <c r="O99" s="685"/>
      <c r="P99" s="685"/>
      <c r="Q99" s="685"/>
      <c r="R99" s="685"/>
      <c r="S99" s="685"/>
      <c r="T99" s="685"/>
      <c r="U99" s="685"/>
      <c r="V99" s="685"/>
      <c r="W99" s="685"/>
      <c r="X99" s="729"/>
      <c r="Y99" s="729"/>
      <c r="Z99" s="729"/>
      <c r="AA99" s="687">
        <f t="shared" si="13"/>
        <v>34756</v>
      </c>
      <c r="AB99" s="689"/>
      <c r="AC99" s="689"/>
      <c r="AD99" s="689"/>
      <c r="AE99" s="689"/>
      <c r="AF99" s="689"/>
      <c r="AG99" s="689"/>
      <c r="AH99" s="689"/>
      <c r="AI99" s="689"/>
      <c r="AK99" s="727"/>
      <c r="AL99" s="727"/>
      <c r="AM99" s="727"/>
      <c r="AN99" s="727"/>
      <c r="AO99" s="727"/>
      <c r="AP99" s="727"/>
      <c r="AQ99" s="727"/>
      <c r="AR99" s="727"/>
      <c r="AS99" s="727"/>
      <c r="AT99" s="727"/>
      <c r="AU99" s="727"/>
      <c r="AV99" s="727"/>
      <c r="AW99" s="727"/>
      <c r="AX99" s="727"/>
      <c r="AY99" s="727"/>
      <c r="AZ99" s="727"/>
      <c r="BA99" s="727"/>
      <c r="BB99" s="727"/>
      <c r="BC99" s="727"/>
      <c r="BD99" s="727"/>
      <c r="BE99" s="727"/>
      <c r="BF99" s="727"/>
      <c r="BG99" s="727"/>
      <c r="BH99" s="727"/>
      <c r="BI99" s="727"/>
    </row>
    <row r="100" spans="1:61" s="655" customFormat="1" ht="12.75" customHeight="1">
      <c r="A100" s="728">
        <f t="shared" si="12"/>
        <v>13</v>
      </c>
      <c r="B100" s="682" t="s">
        <v>202</v>
      </c>
      <c r="C100" s="688"/>
      <c r="D100" s="688"/>
      <c r="E100" s="685"/>
      <c r="F100" s="685"/>
      <c r="G100" s="685">
        <f>19854</f>
        <v>19854</v>
      </c>
      <c r="H100" s="685">
        <v>34628</v>
      </c>
      <c r="I100" s="685">
        <v>44516</v>
      </c>
      <c r="J100" s="682">
        <v>39342</v>
      </c>
      <c r="K100" s="685">
        <v>41203</v>
      </c>
      <c r="L100" s="685">
        <v>28805</v>
      </c>
      <c r="M100" s="685">
        <v>26900</v>
      </c>
      <c r="N100" s="685">
        <v>29419</v>
      </c>
      <c r="O100" s="685">
        <v>32841</v>
      </c>
      <c r="P100" s="685">
        <v>24802</v>
      </c>
      <c r="Q100" s="685">
        <v>30507</v>
      </c>
      <c r="R100" s="685">
        <v>36249</v>
      </c>
      <c r="S100" s="685">
        <v>29711</v>
      </c>
      <c r="T100" s="685">
        <v>37114</v>
      </c>
      <c r="U100" s="685">
        <v>47135</v>
      </c>
      <c r="V100" s="685">
        <v>46481</v>
      </c>
      <c r="W100" s="685">
        <v>43994</v>
      </c>
      <c r="X100" s="686">
        <v>60580</v>
      </c>
      <c r="Y100" s="686">
        <v>126057</v>
      </c>
      <c r="Z100" s="686">
        <v>141946</v>
      </c>
      <c r="AA100" s="687">
        <f t="shared" si="13"/>
        <v>922084</v>
      </c>
      <c r="AB100" s="689"/>
      <c r="AC100" s="689"/>
      <c r="AD100" s="689"/>
      <c r="AE100" s="689"/>
      <c r="AF100" s="689"/>
      <c r="AG100" s="689"/>
      <c r="AH100" s="689"/>
      <c r="AI100" s="689"/>
      <c r="AK100" s="727"/>
      <c r="AL100" s="727"/>
      <c r="AM100" s="727"/>
      <c r="AN100" s="727"/>
      <c r="AO100" s="727"/>
      <c r="AP100" s="727"/>
      <c r="AQ100" s="727"/>
      <c r="AR100" s="727"/>
      <c r="AS100" s="727"/>
      <c r="AT100" s="727"/>
      <c r="AU100" s="727"/>
      <c r="AV100" s="727"/>
      <c r="AW100" s="727"/>
      <c r="AX100" s="727"/>
      <c r="AY100" s="727"/>
      <c r="AZ100" s="727"/>
      <c r="BA100" s="727"/>
      <c r="BB100" s="727"/>
      <c r="BC100" s="727"/>
      <c r="BD100" s="727"/>
      <c r="BE100" s="727"/>
      <c r="BF100" s="727"/>
      <c r="BG100" s="727"/>
      <c r="BH100" s="727"/>
      <c r="BI100" s="727"/>
    </row>
    <row r="101" spans="1:61" s="655" customFormat="1" ht="15" customHeight="1" thickBot="1">
      <c r="A101" s="730">
        <f t="shared" si="12"/>
        <v>14</v>
      </c>
      <c r="B101" s="731" t="s">
        <v>203</v>
      </c>
      <c r="C101" s="732"/>
      <c r="D101" s="732"/>
      <c r="E101" s="733"/>
      <c r="F101" s="733"/>
      <c r="G101" s="733"/>
      <c r="H101" s="733"/>
      <c r="I101" s="733"/>
      <c r="J101" s="733"/>
      <c r="K101" s="733"/>
      <c r="L101" s="733"/>
      <c r="M101" s="733"/>
      <c r="N101" s="733"/>
      <c r="O101" s="733"/>
      <c r="P101" s="733"/>
      <c r="Q101" s="733"/>
      <c r="R101" s="733"/>
      <c r="S101" s="733"/>
      <c r="T101" s="733"/>
      <c r="U101" s="733"/>
      <c r="V101" s="733">
        <v>36</v>
      </c>
      <c r="W101" s="733">
        <v>4457</v>
      </c>
      <c r="X101" s="734">
        <v>18</v>
      </c>
      <c r="Y101" s="734">
        <v>37.2</v>
      </c>
      <c r="Z101" s="734">
        <v>98</v>
      </c>
      <c r="AA101" s="735">
        <f t="shared" si="13"/>
        <v>4646.2</v>
      </c>
      <c r="AB101" s="689"/>
      <c r="AC101" s="689"/>
      <c r="AD101" s="689"/>
      <c r="AE101" s="689"/>
      <c r="AF101" s="689"/>
      <c r="AG101" s="689"/>
      <c r="AH101" s="689"/>
      <c r="AI101" s="689"/>
      <c r="AK101" s="727"/>
      <c r="AL101" s="727"/>
      <c r="AM101" s="727"/>
      <c r="AN101" s="727"/>
      <c r="AO101" s="727"/>
      <c r="AP101" s="727"/>
      <c r="AQ101" s="727"/>
      <c r="AR101" s="727"/>
      <c r="AS101" s="727"/>
      <c r="AT101" s="727"/>
      <c r="AU101" s="727"/>
      <c r="AV101" s="727"/>
      <c r="AW101" s="727"/>
      <c r="AX101" s="727"/>
      <c r="AY101" s="727"/>
      <c r="AZ101" s="727"/>
      <c r="BA101" s="727"/>
      <c r="BB101" s="727"/>
      <c r="BC101" s="727"/>
      <c r="BD101" s="727"/>
      <c r="BE101" s="727"/>
      <c r="BF101" s="727"/>
      <c r="BG101" s="727"/>
      <c r="BH101" s="727"/>
      <c r="BI101" s="727"/>
    </row>
    <row r="102" spans="1:35" ht="15" thickBot="1">
      <c r="A102" s="1167" t="s">
        <v>12</v>
      </c>
      <c r="B102" s="1168"/>
      <c r="C102" s="736"/>
      <c r="D102" s="697"/>
      <c r="E102" s="698"/>
      <c r="F102" s="698"/>
      <c r="G102" s="698">
        <f aca="true" t="shared" si="14" ref="G102:AA102">SUM(G88:G101)</f>
        <v>28875</v>
      </c>
      <c r="H102" s="698">
        <f t="shared" si="14"/>
        <v>58517</v>
      </c>
      <c r="I102" s="698">
        <f t="shared" si="14"/>
        <v>98169.70999999999</v>
      </c>
      <c r="J102" s="698">
        <f t="shared" si="14"/>
        <v>99528.95999999999</v>
      </c>
      <c r="K102" s="698">
        <f t="shared" si="14"/>
        <v>94407.95999999999</v>
      </c>
      <c r="L102" s="698">
        <f t="shared" si="14"/>
        <v>87425.53</v>
      </c>
      <c r="M102" s="698">
        <f t="shared" si="14"/>
        <v>123118</v>
      </c>
      <c r="N102" s="698">
        <f t="shared" si="14"/>
        <v>118716.19</v>
      </c>
      <c r="O102" s="698">
        <f t="shared" si="14"/>
        <v>65021</v>
      </c>
      <c r="P102" s="699">
        <f t="shared" si="14"/>
        <v>48238.5</v>
      </c>
      <c r="Q102" s="698">
        <f t="shared" si="14"/>
        <v>51620.9</v>
      </c>
      <c r="R102" s="699">
        <f t="shared" si="14"/>
        <v>70703.08</v>
      </c>
      <c r="S102" s="699">
        <f t="shared" si="14"/>
        <v>73539</v>
      </c>
      <c r="T102" s="699">
        <f t="shared" si="14"/>
        <v>85180.67</v>
      </c>
      <c r="U102" s="699">
        <f t="shared" si="14"/>
        <v>133536</v>
      </c>
      <c r="V102" s="699">
        <f t="shared" si="14"/>
        <v>127933</v>
      </c>
      <c r="W102" s="699">
        <f>SUM(W88:W101)</f>
        <v>112675</v>
      </c>
      <c r="X102" s="699">
        <f>SUM(X88:X101)</f>
        <v>151012.6</v>
      </c>
      <c r="Y102" s="699">
        <f>SUM(Y88:Y101)</f>
        <v>251021.2</v>
      </c>
      <c r="Z102" s="699">
        <f>SUM(Z88:Z101)</f>
        <v>277260.4</v>
      </c>
      <c r="AA102" s="700">
        <f t="shared" si="14"/>
        <v>2156499.7</v>
      </c>
      <c r="AB102" s="701"/>
      <c r="AC102" s="701"/>
      <c r="AD102" s="701"/>
      <c r="AE102" s="701"/>
      <c r="AF102" s="701"/>
      <c r="AG102" s="701"/>
      <c r="AH102" s="701"/>
      <c r="AI102" s="701"/>
    </row>
    <row r="103" spans="1:35" ht="15" thickBot="1">
      <c r="A103" s="737"/>
      <c r="B103" s="738"/>
      <c r="C103" s="701"/>
      <c r="D103" s="701"/>
      <c r="E103" s="739"/>
      <c r="F103" s="739"/>
      <c r="G103" s="739"/>
      <c r="H103" s="739"/>
      <c r="I103" s="739"/>
      <c r="J103" s="739"/>
      <c r="K103" s="739"/>
      <c r="L103" s="739"/>
      <c r="M103" s="739"/>
      <c r="N103" s="739"/>
      <c r="O103" s="739"/>
      <c r="P103" s="739"/>
      <c r="Q103" s="739"/>
      <c r="R103" s="739"/>
      <c r="S103" s="739"/>
      <c r="T103" s="739"/>
      <c r="U103" s="739"/>
      <c r="V103" s="739"/>
      <c r="W103" s="739"/>
      <c r="X103" s="739"/>
      <c r="Y103" s="739"/>
      <c r="Z103" s="739"/>
      <c r="AA103" s="739"/>
      <c r="AB103" s="701"/>
      <c r="AC103" s="701"/>
      <c r="AD103" s="701"/>
      <c r="AE103" s="701"/>
      <c r="AF103" s="701"/>
      <c r="AG103" s="701"/>
      <c r="AH103" s="701"/>
      <c r="AI103" s="701"/>
    </row>
    <row r="104" spans="1:35" ht="15" thickBot="1">
      <c r="A104" s="1163" t="s">
        <v>33</v>
      </c>
      <c r="B104" s="1164"/>
      <c r="C104" s="696"/>
      <c r="D104" s="697"/>
      <c r="E104" s="740"/>
      <c r="F104" s="740"/>
      <c r="G104" s="740">
        <f aca="true" t="shared" si="15" ref="G104:AA104">G71+G85+G102</f>
        <v>60353.89</v>
      </c>
      <c r="H104" s="740">
        <f t="shared" si="15"/>
        <v>66151.63</v>
      </c>
      <c r="I104" s="740">
        <f t="shared" si="15"/>
        <v>195777.16999999998</v>
      </c>
      <c r="J104" s="740">
        <f t="shared" si="15"/>
        <v>339068.91500000004</v>
      </c>
      <c r="K104" s="740">
        <f t="shared" si="15"/>
        <v>358242.088</v>
      </c>
      <c r="L104" s="740">
        <f t="shared" si="15"/>
        <v>507365.669</v>
      </c>
      <c r="M104" s="740">
        <f t="shared" si="15"/>
        <v>433589</v>
      </c>
      <c r="N104" s="740">
        <f t="shared" si="15"/>
        <v>196171.29</v>
      </c>
      <c r="O104" s="740">
        <f t="shared" si="15"/>
        <v>120021</v>
      </c>
      <c r="P104" s="741">
        <f t="shared" si="15"/>
        <v>72152.11</v>
      </c>
      <c r="Q104" s="740">
        <f t="shared" si="15"/>
        <v>165063.76</v>
      </c>
      <c r="R104" s="741">
        <f t="shared" si="15"/>
        <v>229882.97999999998</v>
      </c>
      <c r="S104" s="741">
        <f t="shared" si="15"/>
        <v>340198.45</v>
      </c>
      <c r="T104" s="741">
        <f t="shared" si="15"/>
        <v>388508.57</v>
      </c>
      <c r="U104" s="741">
        <f t="shared" si="15"/>
        <v>619206</v>
      </c>
      <c r="V104" s="741">
        <f t="shared" si="15"/>
        <v>719579</v>
      </c>
      <c r="W104" s="741">
        <f>W71+W85+W102</f>
        <v>978752</v>
      </c>
      <c r="X104" s="741">
        <f>X71+X85+X102</f>
        <v>1641750.9652000002</v>
      </c>
      <c r="Y104" s="741">
        <f>Y71+Y85+Y102</f>
        <v>2467420.8604500005</v>
      </c>
      <c r="Z104" s="741">
        <f>Z71+Z85+Z102</f>
        <v>2166082.5</v>
      </c>
      <c r="AA104" s="700">
        <f t="shared" si="15"/>
        <v>12169606.887649998</v>
      </c>
      <c r="AB104" s="701"/>
      <c r="AC104" s="702"/>
      <c r="AD104" s="702"/>
      <c r="AE104" s="702"/>
      <c r="AF104" s="703"/>
      <c r="AG104" s="703"/>
      <c r="AH104" s="703"/>
      <c r="AI104" s="703"/>
    </row>
    <row r="105" spans="1:35" ht="14.25">
      <c r="A105" s="742"/>
      <c r="B105" s="743"/>
      <c r="C105" s="744"/>
      <c r="D105" s="745"/>
      <c r="E105" s="745"/>
      <c r="F105" s="745"/>
      <c r="G105" s="745"/>
      <c r="H105" s="743"/>
      <c r="I105" s="743"/>
      <c r="J105" s="743"/>
      <c r="K105" s="743"/>
      <c r="L105" s="743"/>
      <c r="M105" s="743"/>
      <c r="N105" s="743"/>
      <c r="O105" s="743"/>
      <c r="P105" s="743"/>
      <c r="Q105" s="743"/>
      <c r="R105" s="743"/>
      <c r="S105" s="743"/>
      <c r="T105" s="743"/>
      <c r="U105" s="743"/>
      <c r="V105" s="743"/>
      <c r="W105" s="743"/>
      <c r="X105" s="743"/>
      <c r="Y105" s="743"/>
      <c r="Z105" s="743"/>
      <c r="AA105" s="746"/>
      <c r="AB105" s="703"/>
      <c r="AC105" s="703"/>
      <c r="AD105" s="703"/>
      <c r="AE105" s="703"/>
      <c r="AF105" s="703"/>
      <c r="AG105" s="703"/>
      <c r="AH105" s="703"/>
      <c r="AI105" s="703"/>
    </row>
    <row r="106" spans="1:35" ht="14.25">
      <c r="A106" s="747" t="s">
        <v>204</v>
      </c>
      <c r="C106" s="748"/>
      <c r="E106" s="749"/>
      <c r="F106" s="749"/>
      <c r="G106" s="749"/>
      <c r="AA106" s="703"/>
      <c r="AB106" s="703"/>
      <c r="AC106" s="703"/>
      <c r="AD106" s="703"/>
      <c r="AE106" s="703"/>
      <c r="AF106" s="703"/>
      <c r="AG106" s="703"/>
      <c r="AH106" s="703"/>
      <c r="AI106" s="703"/>
    </row>
    <row r="107" ht="14.25">
      <c r="A107" s="743" t="s">
        <v>205</v>
      </c>
    </row>
    <row r="108" ht="14.25">
      <c r="A108" s="743" t="s">
        <v>206</v>
      </c>
    </row>
    <row r="109" ht="14.25">
      <c r="A109" s="743" t="s">
        <v>207</v>
      </c>
    </row>
  </sheetData>
  <sheetProtection/>
  <mergeCells count="6">
    <mergeCell ref="A5:AA5"/>
    <mergeCell ref="A7:AA7"/>
    <mergeCell ref="A71:B71"/>
    <mergeCell ref="A85:B85"/>
    <mergeCell ref="A102:B102"/>
    <mergeCell ref="A104:B104"/>
  </mergeCells>
  <printOptions horizontalCentered="1" verticalCentered="1"/>
  <pageMargins left="0.7874015748031497" right="0.3937007874015748" top="0.3937007874015748" bottom="0.3937007874015748" header="0" footer="0"/>
  <pageSetup fitToHeight="1" fitToWidth="1" horizontalDpi="600" verticalDpi="600" orientation="landscape" paperSize="9" scale="35" r:id="rId1"/>
  <ignoredErrors>
    <ignoredError sqref="Z85 T85:Y85 Z102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J59"/>
  <sheetViews>
    <sheetView showGridLines="0" view="pageBreakPreview" zoomScale="70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53" sqref="C53"/>
    </sheetView>
  </sheetViews>
  <sheetFormatPr defaultColWidth="11.421875" defaultRowHeight="12.75"/>
  <cols>
    <col min="1" max="1" width="5.28125" style="670" customWidth="1"/>
    <col min="2" max="2" width="72.8515625" style="670" customWidth="1"/>
    <col min="3" max="3" width="11.7109375" style="670" customWidth="1"/>
    <col min="4" max="4" width="11.28125" style="670" customWidth="1"/>
    <col min="5" max="11" width="11.57421875" style="670" customWidth="1"/>
    <col min="12" max="20" width="10.28125" style="670" customWidth="1"/>
    <col min="21" max="21" width="15.28125" style="670" customWidth="1"/>
    <col min="22" max="22" width="12.00390625" style="670" customWidth="1"/>
    <col min="23" max="26" width="11.8515625" style="670" customWidth="1"/>
    <col min="27" max="27" width="12.7109375" style="670" bestFit="1" customWidth="1"/>
    <col min="28" max="31" width="11.421875" style="670" customWidth="1"/>
    <col min="32" max="32" width="14.00390625" style="670" customWidth="1"/>
    <col min="33" max="33" width="37.7109375" style="670" customWidth="1"/>
    <col min="34" max="16384" width="11.421875" style="670" customWidth="1"/>
  </cols>
  <sheetData>
    <row r="6" spans="1:27" ht="18">
      <c r="A6" s="1162" t="s">
        <v>299</v>
      </c>
      <c r="B6" s="1162"/>
      <c r="C6" s="1162"/>
      <c r="D6" s="1162"/>
      <c r="E6" s="1162"/>
      <c r="F6" s="1162"/>
      <c r="G6" s="1162"/>
      <c r="H6" s="1162"/>
      <c r="I6" s="1162"/>
      <c r="J6" s="1162"/>
      <c r="K6" s="1162"/>
      <c r="L6" s="1162"/>
      <c r="M6" s="1162"/>
      <c r="N6" s="1162"/>
      <c r="O6" s="1162"/>
      <c r="P6" s="1162"/>
      <c r="Q6" s="1162"/>
      <c r="R6" s="1162"/>
      <c r="S6" s="1162"/>
      <c r="T6" s="1162"/>
      <c r="U6" s="1162"/>
      <c r="V6" s="1162"/>
      <c r="W6" s="1162"/>
      <c r="X6" s="1162"/>
      <c r="Y6" s="1162"/>
      <c r="Z6" s="1162"/>
      <c r="AA6" s="1162"/>
    </row>
    <row r="7" spans="1:27" ht="18.75" thickBot="1">
      <c r="A7" s="750"/>
      <c r="B7" s="750"/>
      <c r="C7" s="750"/>
      <c r="D7" s="750"/>
      <c r="E7" s="750"/>
      <c r="F7" s="750"/>
      <c r="G7" s="750"/>
      <c r="H7" s="750"/>
      <c r="I7" s="750"/>
      <c r="J7" s="750"/>
      <c r="K7" s="750"/>
      <c r="L7" s="750"/>
      <c r="M7" s="750"/>
      <c r="N7" s="750"/>
      <c r="O7" s="750"/>
      <c r="P7" s="750"/>
      <c r="Q7" s="750"/>
      <c r="R7" s="750"/>
      <c r="S7" s="750"/>
      <c r="T7" s="750"/>
      <c r="U7" s="750"/>
      <c r="V7" s="750"/>
      <c r="W7" s="750"/>
      <c r="X7" s="750"/>
      <c r="Y7" s="750"/>
      <c r="Z7" s="750"/>
      <c r="AA7" s="750"/>
    </row>
    <row r="8" spans="1:35" s="672" customFormat="1" ht="16.5" thickBot="1">
      <c r="A8" s="937" t="s">
        <v>137</v>
      </c>
      <c r="B8" s="938" t="s">
        <v>138</v>
      </c>
      <c r="C8" s="947">
        <v>1990</v>
      </c>
      <c r="D8" s="948">
        <v>1991</v>
      </c>
      <c r="E8" s="948">
        <v>1992</v>
      </c>
      <c r="F8" s="948">
        <v>1993</v>
      </c>
      <c r="G8" s="948">
        <v>1994</v>
      </c>
      <c r="H8" s="948">
        <v>1995</v>
      </c>
      <c r="I8" s="948">
        <v>1996</v>
      </c>
      <c r="J8" s="948">
        <v>1997</v>
      </c>
      <c r="K8" s="948">
        <v>1998</v>
      </c>
      <c r="L8" s="948">
        <v>1999</v>
      </c>
      <c r="M8" s="947">
        <v>2000</v>
      </c>
      <c r="N8" s="947">
        <v>2001</v>
      </c>
      <c r="O8" s="947">
        <v>2002</v>
      </c>
      <c r="P8" s="947">
        <v>2003</v>
      </c>
      <c r="Q8" s="947">
        <v>2004</v>
      </c>
      <c r="R8" s="947">
        <v>2005</v>
      </c>
      <c r="S8" s="947">
        <v>2006</v>
      </c>
      <c r="T8" s="947">
        <v>2007</v>
      </c>
      <c r="U8" s="947">
        <v>2008</v>
      </c>
      <c r="V8" s="949">
        <v>2009</v>
      </c>
      <c r="W8" s="947">
        <v>2010</v>
      </c>
      <c r="X8" s="947">
        <v>2011</v>
      </c>
      <c r="Y8" s="947">
        <v>2012</v>
      </c>
      <c r="Z8" s="947">
        <v>2013</v>
      </c>
      <c r="AA8" s="950" t="s">
        <v>0</v>
      </c>
      <c r="AB8" s="671"/>
      <c r="AC8" s="671"/>
      <c r="AD8" s="671"/>
      <c r="AE8" s="671"/>
      <c r="AF8" s="671"/>
      <c r="AG8" s="671"/>
      <c r="AH8" s="671"/>
      <c r="AI8" s="671"/>
    </row>
    <row r="9" spans="1:35" s="655" customFormat="1" ht="14.25">
      <c r="A9" s="751">
        <v>1</v>
      </c>
      <c r="B9" s="752" t="s">
        <v>208</v>
      </c>
      <c r="C9" s="753"/>
      <c r="D9" s="753"/>
      <c r="E9" s="753"/>
      <c r="F9" s="753"/>
      <c r="G9" s="753"/>
      <c r="H9" s="753">
        <v>198</v>
      </c>
      <c r="I9" s="753">
        <v>1167</v>
      </c>
      <c r="J9" s="754">
        <v>1015</v>
      </c>
      <c r="K9" s="754">
        <v>467</v>
      </c>
      <c r="L9" s="753">
        <v>3786.197</v>
      </c>
      <c r="M9" s="755">
        <v>2922</v>
      </c>
      <c r="N9" s="753">
        <v>949.16</v>
      </c>
      <c r="O9" s="754"/>
      <c r="P9" s="754"/>
      <c r="Q9" s="753"/>
      <c r="R9" s="754"/>
      <c r="S9" s="754"/>
      <c r="T9" s="754"/>
      <c r="U9" s="754"/>
      <c r="V9" s="754"/>
      <c r="W9" s="753"/>
      <c r="X9" s="753"/>
      <c r="Y9" s="753">
        <v>8636</v>
      </c>
      <c r="Z9" s="753"/>
      <c r="AA9" s="756">
        <f>SUM(C9:Z9)</f>
        <v>19140.357</v>
      </c>
      <c r="AB9" s="689"/>
      <c r="AC9" s="689"/>
      <c r="AD9" s="689"/>
      <c r="AE9" s="689"/>
      <c r="AF9" s="689"/>
      <c r="AG9" s="690"/>
      <c r="AH9" s="691"/>
      <c r="AI9" s="690"/>
    </row>
    <row r="10" spans="1:35" s="655" customFormat="1" ht="14.25">
      <c r="A10" s="757">
        <f aca="true" t="shared" si="0" ref="A10:A16">A9+1</f>
        <v>2</v>
      </c>
      <c r="B10" s="758" t="s">
        <v>209</v>
      </c>
      <c r="C10" s="759">
        <v>488</v>
      </c>
      <c r="D10" s="759">
        <v>16018</v>
      </c>
      <c r="E10" s="759">
        <v>16956</v>
      </c>
      <c r="F10" s="759">
        <v>19043</v>
      </c>
      <c r="G10" s="759"/>
      <c r="H10" s="759"/>
      <c r="I10" s="759"/>
      <c r="J10" s="758"/>
      <c r="K10" s="758"/>
      <c r="L10" s="758"/>
      <c r="M10" s="760"/>
      <c r="N10" s="758"/>
      <c r="O10" s="761"/>
      <c r="P10" s="761"/>
      <c r="Q10" s="758"/>
      <c r="R10" s="761"/>
      <c r="S10" s="761"/>
      <c r="T10" s="761"/>
      <c r="U10" s="761"/>
      <c r="V10" s="761"/>
      <c r="W10" s="759"/>
      <c r="X10" s="759"/>
      <c r="Y10" s="759"/>
      <c r="Z10" s="759"/>
      <c r="AA10" s="762">
        <f aca="true" t="shared" si="1" ref="AA10:AA16">SUM(C10:Z10)</f>
        <v>52505</v>
      </c>
      <c r="AB10" s="689"/>
      <c r="AC10" s="690"/>
      <c r="AD10" s="690"/>
      <c r="AE10" s="690"/>
      <c r="AF10" s="689"/>
      <c r="AG10" s="690"/>
      <c r="AH10" s="691"/>
      <c r="AI10" s="690"/>
    </row>
    <row r="11" spans="1:35" s="655" customFormat="1" ht="14.25">
      <c r="A11" s="757">
        <f t="shared" si="0"/>
        <v>3</v>
      </c>
      <c r="B11" s="758" t="s">
        <v>210</v>
      </c>
      <c r="C11" s="759">
        <v>42220</v>
      </c>
      <c r="D11" s="759">
        <v>11497</v>
      </c>
      <c r="E11" s="759">
        <v>54215</v>
      </c>
      <c r="F11" s="759">
        <v>49330</v>
      </c>
      <c r="G11" s="759">
        <v>22137</v>
      </c>
      <c r="H11" s="759">
        <v>23670</v>
      </c>
      <c r="I11" s="759">
        <v>26810</v>
      </c>
      <c r="J11" s="759">
        <v>39439</v>
      </c>
      <c r="K11" s="759">
        <v>14521.72</v>
      </c>
      <c r="L11" s="759">
        <v>19313.91</v>
      </c>
      <c r="M11" s="763">
        <v>20688</v>
      </c>
      <c r="N11" s="759">
        <v>3172</v>
      </c>
      <c r="O11" s="764">
        <v>4468</v>
      </c>
      <c r="P11" s="764">
        <v>4113</v>
      </c>
      <c r="Q11" s="759">
        <v>2654</v>
      </c>
      <c r="R11" s="764">
        <v>4050</v>
      </c>
      <c r="S11" s="764">
        <v>3700</v>
      </c>
      <c r="T11" s="764">
        <v>5020</v>
      </c>
      <c r="U11" s="764">
        <v>5389</v>
      </c>
      <c r="V11" s="764">
        <v>4644</v>
      </c>
      <c r="W11" s="759">
        <v>6840</v>
      </c>
      <c r="X11" s="759">
        <v>8665</v>
      </c>
      <c r="Y11" s="759"/>
      <c r="Z11" s="759">
        <v>14257</v>
      </c>
      <c r="AA11" s="762">
        <f t="shared" si="1"/>
        <v>390813.62999999995</v>
      </c>
      <c r="AB11" s="689"/>
      <c r="AC11" s="690"/>
      <c r="AD11" s="690"/>
      <c r="AE11" s="690"/>
      <c r="AF11" s="689"/>
      <c r="AG11" s="690"/>
      <c r="AH11" s="690"/>
      <c r="AI11" s="690"/>
    </row>
    <row r="12" spans="1:40" s="655" customFormat="1" ht="14.25">
      <c r="A12" s="757">
        <f t="shared" si="0"/>
        <v>4</v>
      </c>
      <c r="B12" s="758" t="s">
        <v>211</v>
      </c>
      <c r="C12" s="759"/>
      <c r="D12" s="759"/>
      <c r="E12" s="759"/>
      <c r="F12" s="759"/>
      <c r="G12" s="759"/>
      <c r="H12" s="759"/>
      <c r="I12" s="759"/>
      <c r="J12" s="758"/>
      <c r="K12" s="759">
        <v>10360</v>
      </c>
      <c r="L12" s="759">
        <v>25640</v>
      </c>
      <c r="M12" s="763">
        <v>21600</v>
      </c>
      <c r="N12" s="759">
        <v>47602</v>
      </c>
      <c r="O12" s="764">
        <v>67261</v>
      </c>
      <c r="P12" s="764">
        <v>58696</v>
      </c>
      <c r="Q12" s="759">
        <v>56334</v>
      </c>
      <c r="R12" s="764">
        <v>41292</v>
      </c>
      <c r="S12" s="764">
        <v>20787</v>
      </c>
      <c r="T12" s="764">
        <v>57192</v>
      </c>
      <c r="U12" s="764">
        <v>2055</v>
      </c>
      <c r="V12" s="764">
        <v>0</v>
      </c>
      <c r="W12" s="759">
        <v>0</v>
      </c>
      <c r="X12" s="759">
        <v>0</v>
      </c>
      <c r="Y12" s="759"/>
      <c r="Z12" s="759"/>
      <c r="AA12" s="762">
        <f t="shared" si="1"/>
        <v>408819</v>
      </c>
      <c r="AB12" s="689"/>
      <c r="AC12" s="689"/>
      <c r="AD12" s="689"/>
      <c r="AE12" s="689"/>
      <c r="AF12" s="689"/>
      <c r="AG12" s="689"/>
      <c r="AH12" s="691"/>
      <c r="AI12" s="689"/>
      <c r="AK12" s="727"/>
      <c r="AL12" s="727"/>
      <c r="AM12" s="727"/>
      <c r="AN12" s="727"/>
    </row>
    <row r="13" spans="1:35" s="655" customFormat="1" ht="14.25">
      <c r="A13" s="757">
        <f t="shared" si="0"/>
        <v>5</v>
      </c>
      <c r="B13" s="758" t="s">
        <v>212</v>
      </c>
      <c r="C13" s="759"/>
      <c r="D13" s="759"/>
      <c r="E13" s="759"/>
      <c r="F13" s="759"/>
      <c r="G13" s="759">
        <v>2796.67</v>
      </c>
      <c r="H13" s="759">
        <v>1495.71</v>
      </c>
      <c r="I13" s="759">
        <v>4194.2</v>
      </c>
      <c r="J13" s="759">
        <v>6890.29</v>
      </c>
      <c r="K13" s="759">
        <v>29741.5</v>
      </c>
      <c r="L13" s="759">
        <v>31716.54</v>
      </c>
      <c r="M13" s="763">
        <v>17715</v>
      </c>
      <c r="N13" s="759">
        <v>2532</v>
      </c>
      <c r="O13" s="764">
        <v>344</v>
      </c>
      <c r="P13" s="764">
        <v>1470.05</v>
      </c>
      <c r="Q13" s="759">
        <v>6350.94</v>
      </c>
      <c r="R13" s="764">
        <v>6560.7</v>
      </c>
      <c r="S13" s="764">
        <v>3250.88</v>
      </c>
      <c r="T13" s="764">
        <v>9585</v>
      </c>
      <c r="U13" s="764">
        <v>10729</v>
      </c>
      <c r="V13" s="764">
        <v>25289</v>
      </c>
      <c r="W13" s="759">
        <v>5465</v>
      </c>
      <c r="X13" s="759">
        <v>1454</v>
      </c>
      <c r="Y13" s="759">
        <v>25</v>
      </c>
      <c r="Z13" s="759">
        <v>255</v>
      </c>
      <c r="AA13" s="762">
        <f t="shared" si="1"/>
        <v>167860.48</v>
      </c>
      <c r="AB13" s="689"/>
      <c r="AC13" s="689"/>
      <c r="AD13" s="689"/>
      <c r="AE13" s="689"/>
      <c r="AF13" s="689"/>
      <c r="AG13" s="689"/>
      <c r="AH13" s="689"/>
      <c r="AI13" s="689"/>
    </row>
    <row r="14" spans="1:35" s="655" customFormat="1" ht="14.25">
      <c r="A14" s="757">
        <f t="shared" si="0"/>
        <v>6</v>
      </c>
      <c r="B14" s="758" t="s">
        <v>213</v>
      </c>
      <c r="C14" s="759"/>
      <c r="D14" s="759"/>
      <c r="E14" s="759"/>
      <c r="F14" s="759"/>
      <c r="G14" s="759"/>
      <c r="H14" s="759">
        <v>72</v>
      </c>
      <c r="I14" s="759">
        <v>227</v>
      </c>
      <c r="J14" s="759">
        <v>1362</v>
      </c>
      <c r="K14" s="759">
        <v>5878</v>
      </c>
      <c r="L14" s="759">
        <v>3425</v>
      </c>
      <c r="M14" s="763">
        <v>985</v>
      </c>
      <c r="N14" s="759">
        <v>1415.92</v>
      </c>
      <c r="O14" s="764">
        <v>636</v>
      </c>
      <c r="P14" s="764">
        <v>219.38</v>
      </c>
      <c r="Q14" s="759">
        <v>188.28</v>
      </c>
      <c r="R14" s="764">
        <v>227.23</v>
      </c>
      <c r="S14" s="764">
        <v>254.26</v>
      </c>
      <c r="T14" s="764">
        <v>224.84</v>
      </c>
      <c r="U14" s="764">
        <v>4992</v>
      </c>
      <c r="V14" s="764">
        <v>4537</v>
      </c>
      <c r="W14" s="759">
        <v>1212</v>
      </c>
      <c r="X14" s="759">
        <v>158.39999999999998</v>
      </c>
      <c r="Y14" s="759">
        <v>342</v>
      </c>
      <c r="Z14" s="759">
        <v>544</v>
      </c>
      <c r="AA14" s="762">
        <f t="shared" si="1"/>
        <v>26900.31</v>
      </c>
      <c r="AB14" s="689"/>
      <c r="AC14" s="690"/>
      <c r="AD14" s="690"/>
      <c r="AE14" s="690"/>
      <c r="AF14" s="690"/>
      <c r="AG14" s="690"/>
      <c r="AH14" s="690"/>
      <c r="AI14" s="690"/>
    </row>
    <row r="15" spans="1:35" s="655" customFormat="1" ht="14.25">
      <c r="A15" s="757">
        <f t="shared" si="0"/>
        <v>7</v>
      </c>
      <c r="B15" s="758" t="s">
        <v>214</v>
      </c>
      <c r="C15" s="759"/>
      <c r="D15" s="759"/>
      <c r="E15" s="759"/>
      <c r="F15" s="759"/>
      <c r="G15" s="759">
        <v>3135.343</v>
      </c>
      <c r="H15" s="759">
        <v>4517.092</v>
      </c>
      <c r="I15" s="759">
        <v>2891.973</v>
      </c>
      <c r="J15" s="759">
        <v>4895.327</v>
      </c>
      <c r="K15" s="759">
        <v>5062.016</v>
      </c>
      <c r="L15" s="759">
        <v>13311.813</v>
      </c>
      <c r="M15" s="763">
        <v>34590</v>
      </c>
      <c r="N15" s="759">
        <v>12855</v>
      </c>
      <c r="O15" s="764">
        <v>4446</v>
      </c>
      <c r="P15" s="764">
        <v>1893.07</v>
      </c>
      <c r="Q15" s="759">
        <v>567</v>
      </c>
      <c r="R15" s="764">
        <v>1179.57</v>
      </c>
      <c r="S15" s="764">
        <v>126.01</v>
      </c>
      <c r="T15" s="764">
        <v>710.51</v>
      </c>
      <c r="U15" s="764">
        <v>2239</v>
      </c>
      <c r="V15" s="764">
        <v>53923</v>
      </c>
      <c r="W15" s="759">
        <v>8801</v>
      </c>
      <c r="X15" s="759">
        <v>16560</v>
      </c>
      <c r="Y15" s="759">
        <v>23215</v>
      </c>
      <c r="Z15" s="759">
        <v>45806.8</v>
      </c>
      <c r="AA15" s="762">
        <f t="shared" si="1"/>
        <v>240725.52399999998</v>
      </c>
      <c r="AB15" s="689"/>
      <c r="AC15" s="690"/>
      <c r="AD15" s="690"/>
      <c r="AE15" s="690"/>
      <c r="AF15" s="690"/>
      <c r="AG15" s="690"/>
      <c r="AH15" s="690"/>
      <c r="AI15" s="690"/>
    </row>
    <row r="16" spans="1:35" s="655" customFormat="1" ht="15" thickBot="1">
      <c r="A16" s="765">
        <f t="shared" si="0"/>
        <v>8</v>
      </c>
      <c r="B16" s="766" t="s">
        <v>215</v>
      </c>
      <c r="C16" s="767"/>
      <c r="D16" s="767"/>
      <c r="E16" s="767"/>
      <c r="F16" s="767"/>
      <c r="G16" s="767">
        <v>6458.715</v>
      </c>
      <c r="H16" s="767">
        <v>8465.307</v>
      </c>
      <c r="I16" s="767">
        <v>29977.264</v>
      </c>
      <c r="J16" s="767">
        <v>49635.559</v>
      </c>
      <c r="K16" s="767">
        <v>48508.877</v>
      </c>
      <c r="L16" s="767">
        <v>39138.449</v>
      </c>
      <c r="M16" s="768">
        <v>24716</v>
      </c>
      <c r="N16" s="767">
        <v>7751</v>
      </c>
      <c r="O16" s="769">
        <v>643</v>
      </c>
      <c r="P16" s="769">
        <v>714</v>
      </c>
      <c r="Q16" s="767">
        <v>907</v>
      </c>
      <c r="R16" s="769">
        <v>457.21</v>
      </c>
      <c r="S16" s="769">
        <v>1079.77</v>
      </c>
      <c r="T16" s="769">
        <v>766.95</v>
      </c>
      <c r="U16" s="769">
        <v>1109</v>
      </c>
      <c r="V16" s="769">
        <v>456</v>
      </c>
      <c r="W16" s="767">
        <v>2796</v>
      </c>
      <c r="X16" s="767">
        <v>1758.3</v>
      </c>
      <c r="Y16" s="767">
        <v>3062</v>
      </c>
      <c r="Z16" s="767">
        <v>4352</v>
      </c>
      <c r="AA16" s="771">
        <f t="shared" si="1"/>
        <v>232752.40099999998</v>
      </c>
      <c r="AB16" s="689"/>
      <c r="AC16" s="689"/>
      <c r="AD16" s="689"/>
      <c r="AE16" s="690"/>
      <c r="AF16" s="689"/>
      <c r="AG16" s="690"/>
      <c r="AH16" s="690"/>
      <c r="AI16" s="690"/>
    </row>
    <row r="17" spans="1:35" s="655" customFormat="1" ht="15" thickBot="1">
      <c r="A17" s="1169" t="s">
        <v>0</v>
      </c>
      <c r="B17" s="1170"/>
      <c r="C17" s="772">
        <f aca="true" t="shared" si="2" ref="C17:S17">SUM(C9:C16)</f>
        <v>42708</v>
      </c>
      <c r="D17" s="772">
        <f t="shared" si="2"/>
        <v>27515</v>
      </c>
      <c r="E17" s="772">
        <f t="shared" si="2"/>
        <v>71171</v>
      </c>
      <c r="F17" s="772">
        <f t="shared" si="2"/>
        <v>68373</v>
      </c>
      <c r="G17" s="772">
        <f t="shared" si="2"/>
        <v>34527.728</v>
      </c>
      <c r="H17" s="772">
        <f t="shared" si="2"/>
        <v>38418.109</v>
      </c>
      <c r="I17" s="772">
        <f t="shared" si="2"/>
        <v>65267.437000000005</v>
      </c>
      <c r="J17" s="772">
        <f t="shared" si="2"/>
        <v>103237.176</v>
      </c>
      <c r="K17" s="772">
        <f t="shared" si="2"/>
        <v>114539.11300000001</v>
      </c>
      <c r="L17" s="772">
        <f t="shared" si="2"/>
        <v>136331.90899999999</v>
      </c>
      <c r="M17" s="772">
        <f t="shared" si="2"/>
        <v>123216</v>
      </c>
      <c r="N17" s="772">
        <f t="shared" si="2"/>
        <v>76277.08</v>
      </c>
      <c r="O17" s="773">
        <f t="shared" si="2"/>
        <v>77798</v>
      </c>
      <c r="P17" s="773">
        <f t="shared" si="2"/>
        <v>67105.5</v>
      </c>
      <c r="Q17" s="772">
        <f t="shared" si="2"/>
        <v>67001.22</v>
      </c>
      <c r="R17" s="773">
        <f t="shared" si="2"/>
        <v>53766.71</v>
      </c>
      <c r="S17" s="773">
        <f t="shared" si="2"/>
        <v>29197.92</v>
      </c>
      <c r="T17" s="773">
        <f aca="true" t="shared" si="3" ref="T17:AA17">SUM(T9:T16)</f>
        <v>73499.29999999999</v>
      </c>
      <c r="U17" s="773">
        <f t="shared" si="3"/>
        <v>26513</v>
      </c>
      <c r="V17" s="773">
        <f t="shared" si="3"/>
        <v>88849</v>
      </c>
      <c r="W17" s="772">
        <f t="shared" si="3"/>
        <v>25114</v>
      </c>
      <c r="X17" s="772">
        <f t="shared" si="3"/>
        <v>28595.7</v>
      </c>
      <c r="Y17" s="772">
        <f t="shared" si="3"/>
        <v>35280</v>
      </c>
      <c r="Z17" s="772">
        <f>SUM(Z9:Z16)</f>
        <v>65214.8</v>
      </c>
      <c r="AA17" s="774">
        <f t="shared" si="3"/>
        <v>1539516.702</v>
      </c>
      <c r="AB17" s="679"/>
      <c r="AC17" s="689"/>
      <c r="AD17" s="689"/>
      <c r="AE17" s="690"/>
      <c r="AF17" s="689"/>
      <c r="AG17" s="690"/>
      <c r="AH17" s="690"/>
      <c r="AI17" s="690"/>
    </row>
    <row r="18" spans="1:35" s="655" customFormat="1" ht="15" thickBot="1">
      <c r="A18" s="704"/>
      <c r="B18" s="704"/>
      <c r="C18" s="706"/>
      <c r="D18" s="706"/>
      <c r="E18" s="706"/>
      <c r="F18" s="706"/>
      <c r="G18" s="706"/>
      <c r="H18" s="706"/>
      <c r="I18" s="706"/>
      <c r="J18" s="706"/>
      <c r="K18" s="706"/>
      <c r="L18" s="706"/>
      <c r="M18" s="706"/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706"/>
      <c r="Z18" s="706"/>
      <c r="AA18" s="707"/>
      <c r="AB18" s="679"/>
      <c r="AC18" s="689"/>
      <c r="AD18" s="689"/>
      <c r="AE18" s="690"/>
      <c r="AF18" s="689"/>
      <c r="AG18" s="690"/>
      <c r="AH18" s="690"/>
      <c r="AI18" s="690"/>
    </row>
    <row r="19" spans="1:62" s="655" customFormat="1" ht="15.75" thickBot="1">
      <c r="A19" s="937" t="s">
        <v>137</v>
      </c>
      <c r="B19" s="938" t="s">
        <v>181</v>
      </c>
      <c r="C19" s="947"/>
      <c r="D19" s="948"/>
      <c r="E19" s="948"/>
      <c r="F19" s="948"/>
      <c r="G19" s="948"/>
      <c r="H19" s="948"/>
      <c r="I19" s="948"/>
      <c r="J19" s="948"/>
      <c r="K19" s="948"/>
      <c r="L19" s="948"/>
      <c r="M19" s="947"/>
      <c r="N19" s="947"/>
      <c r="O19" s="947"/>
      <c r="P19" s="947"/>
      <c r="Q19" s="947"/>
      <c r="R19" s="947"/>
      <c r="S19" s="947"/>
      <c r="T19" s="947"/>
      <c r="U19" s="947"/>
      <c r="V19" s="949"/>
      <c r="W19" s="947"/>
      <c r="X19" s="947"/>
      <c r="Y19" s="948"/>
      <c r="Z19" s="949"/>
      <c r="AA19" s="950"/>
      <c r="AB19" s="689"/>
      <c r="AC19" s="689"/>
      <c r="AD19" s="689"/>
      <c r="AE19" s="689"/>
      <c r="AF19" s="690"/>
      <c r="AG19" s="689"/>
      <c r="AH19" s="689"/>
      <c r="AI19" s="689"/>
      <c r="AK19" s="689"/>
      <c r="AL19" s="689"/>
      <c r="AM19" s="689"/>
      <c r="AN19" s="689"/>
      <c r="AO19" s="689"/>
      <c r="AP19" s="689"/>
      <c r="AQ19" s="689"/>
      <c r="AR19" s="689"/>
      <c r="AS19" s="689"/>
      <c r="AT19" s="689"/>
      <c r="AU19" s="689"/>
      <c r="AV19" s="689"/>
      <c r="AW19" s="689"/>
      <c r="AX19" s="689"/>
      <c r="AY19" s="689"/>
      <c r="AZ19" s="689"/>
      <c r="BA19" s="689"/>
      <c r="BB19" s="689"/>
      <c r="BC19" s="689"/>
      <c r="BD19" s="689"/>
      <c r="BE19" s="689"/>
      <c r="BF19" s="689"/>
      <c r="BG19" s="689"/>
      <c r="BH19" s="689"/>
      <c r="BI19" s="689"/>
      <c r="BJ19" s="689"/>
    </row>
    <row r="20" spans="1:35" s="655" customFormat="1" ht="14.25">
      <c r="A20" s="751">
        <v>1</v>
      </c>
      <c r="B20" s="752" t="s">
        <v>209</v>
      </c>
      <c r="C20" s="753">
        <v>3818</v>
      </c>
      <c r="D20" s="753">
        <v>2275</v>
      </c>
      <c r="E20" s="753">
        <v>9828</v>
      </c>
      <c r="F20" s="753">
        <v>12900</v>
      </c>
      <c r="G20" s="775"/>
      <c r="H20" s="775"/>
      <c r="I20" s="775"/>
      <c r="J20" s="775"/>
      <c r="K20" s="775"/>
      <c r="L20" s="775"/>
      <c r="M20" s="776"/>
      <c r="N20" s="775"/>
      <c r="O20" s="777"/>
      <c r="P20" s="777"/>
      <c r="Q20" s="775"/>
      <c r="R20" s="777"/>
      <c r="S20" s="777"/>
      <c r="T20" s="777"/>
      <c r="U20" s="777"/>
      <c r="V20" s="777"/>
      <c r="W20" s="753"/>
      <c r="X20" s="753"/>
      <c r="Y20" s="753"/>
      <c r="Z20" s="778"/>
      <c r="AA20" s="779">
        <f>SUM(C20:X20)</f>
        <v>28821</v>
      </c>
      <c r="AB20" s="689"/>
      <c r="AC20" s="689"/>
      <c r="AD20" s="689"/>
      <c r="AE20" s="690"/>
      <c r="AF20" s="689"/>
      <c r="AG20" s="690"/>
      <c r="AH20" s="691"/>
      <c r="AI20" s="690"/>
    </row>
    <row r="21" spans="1:35" s="655" customFormat="1" ht="14.25">
      <c r="A21" s="757">
        <f>A20+1</f>
        <v>2</v>
      </c>
      <c r="B21" s="758" t="s">
        <v>210</v>
      </c>
      <c r="C21" s="759">
        <v>83130</v>
      </c>
      <c r="D21" s="759">
        <v>61462</v>
      </c>
      <c r="E21" s="759">
        <v>8516</v>
      </c>
      <c r="F21" s="759">
        <v>329</v>
      </c>
      <c r="G21" s="780"/>
      <c r="H21" s="780"/>
      <c r="I21" s="780"/>
      <c r="J21" s="780"/>
      <c r="K21" s="780"/>
      <c r="L21" s="780"/>
      <c r="M21" s="781"/>
      <c r="N21" s="780"/>
      <c r="O21" s="782"/>
      <c r="P21" s="782"/>
      <c r="Q21" s="780"/>
      <c r="R21" s="782"/>
      <c r="S21" s="782"/>
      <c r="T21" s="782"/>
      <c r="U21" s="782"/>
      <c r="V21" s="782"/>
      <c r="W21" s="759"/>
      <c r="X21" s="759"/>
      <c r="Y21" s="759"/>
      <c r="Z21" s="783"/>
      <c r="AA21" s="784">
        <f>SUM(C21:X21)</f>
        <v>153437</v>
      </c>
      <c r="AB21" s="689"/>
      <c r="AC21" s="689"/>
      <c r="AD21" s="689"/>
      <c r="AE21" s="690"/>
      <c r="AF21" s="689"/>
      <c r="AG21" s="690"/>
      <c r="AH21" s="690"/>
      <c r="AI21" s="690"/>
    </row>
    <row r="22" spans="1:35" s="655" customFormat="1" ht="14.25">
      <c r="A22" s="757">
        <f>A21+1</f>
        <v>3</v>
      </c>
      <c r="B22" s="758" t="s">
        <v>216</v>
      </c>
      <c r="C22" s="759"/>
      <c r="D22" s="759"/>
      <c r="E22" s="759"/>
      <c r="F22" s="759"/>
      <c r="G22" s="759">
        <v>336</v>
      </c>
      <c r="H22" s="759">
        <v>3788</v>
      </c>
      <c r="I22" s="759">
        <v>16601</v>
      </c>
      <c r="J22" s="758">
        <v>15579</v>
      </c>
      <c r="K22" s="759">
        <v>33390</v>
      </c>
      <c r="L22" s="759">
        <v>27311</v>
      </c>
      <c r="M22" s="763">
        <v>23275</v>
      </c>
      <c r="N22" s="759">
        <v>2644</v>
      </c>
      <c r="O22" s="764">
        <v>86</v>
      </c>
      <c r="P22" s="764"/>
      <c r="Q22" s="759"/>
      <c r="R22" s="764"/>
      <c r="S22" s="764"/>
      <c r="T22" s="764"/>
      <c r="U22" s="764"/>
      <c r="V22" s="764"/>
      <c r="W22" s="759"/>
      <c r="X22" s="759"/>
      <c r="Y22" s="759"/>
      <c r="Z22" s="783"/>
      <c r="AA22" s="784">
        <f>SUM(C22:X22)</f>
        <v>123010</v>
      </c>
      <c r="AB22" s="689"/>
      <c r="AC22" s="689"/>
      <c r="AD22" s="689"/>
      <c r="AE22" s="689"/>
      <c r="AF22" s="689"/>
      <c r="AG22" s="690"/>
      <c r="AH22" s="691"/>
      <c r="AI22" s="690"/>
    </row>
    <row r="23" spans="1:35" s="655" customFormat="1" ht="14.25">
      <c r="A23" s="757">
        <f>A22+1</f>
        <v>4</v>
      </c>
      <c r="B23" s="758" t="s">
        <v>217</v>
      </c>
      <c r="C23" s="759"/>
      <c r="D23" s="759"/>
      <c r="E23" s="759"/>
      <c r="F23" s="759"/>
      <c r="G23" s="759"/>
      <c r="H23" s="759">
        <v>7624.65</v>
      </c>
      <c r="I23" s="785">
        <v>0</v>
      </c>
      <c r="J23" s="759">
        <v>17141.78</v>
      </c>
      <c r="K23" s="759">
        <v>5738.37</v>
      </c>
      <c r="L23" s="759">
        <v>2322</v>
      </c>
      <c r="M23" s="763">
        <v>2992</v>
      </c>
      <c r="N23" s="759">
        <v>472</v>
      </c>
      <c r="O23" s="764">
        <v>281</v>
      </c>
      <c r="P23" s="764"/>
      <c r="Q23" s="759"/>
      <c r="R23" s="764"/>
      <c r="S23" s="764"/>
      <c r="T23" s="764"/>
      <c r="U23" s="764"/>
      <c r="V23" s="764"/>
      <c r="W23" s="759"/>
      <c r="X23" s="759"/>
      <c r="Y23" s="759"/>
      <c r="Z23" s="783"/>
      <c r="AA23" s="784">
        <f>SUM(C23:X23)</f>
        <v>36571.8</v>
      </c>
      <c r="AB23" s="689"/>
      <c r="AC23" s="690"/>
      <c r="AD23" s="690"/>
      <c r="AE23" s="690"/>
      <c r="AF23" s="690"/>
      <c r="AG23" s="690"/>
      <c r="AH23" s="691"/>
      <c r="AI23" s="690"/>
    </row>
    <row r="24" spans="1:35" s="655" customFormat="1" ht="15" thickBot="1">
      <c r="A24" s="765">
        <f>A23+1</f>
        <v>5</v>
      </c>
      <c r="B24" s="766" t="s">
        <v>218</v>
      </c>
      <c r="C24" s="767"/>
      <c r="D24" s="767"/>
      <c r="E24" s="767"/>
      <c r="F24" s="767"/>
      <c r="G24" s="767"/>
      <c r="H24" s="767"/>
      <c r="I24" s="786"/>
      <c r="J24" s="769"/>
      <c r="K24" s="769">
        <v>7026.9</v>
      </c>
      <c r="L24" s="767">
        <v>1684.9</v>
      </c>
      <c r="M24" s="768">
        <v>423</v>
      </c>
      <c r="N24" s="767"/>
      <c r="O24" s="769">
        <v>10</v>
      </c>
      <c r="P24" s="769"/>
      <c r="Q24" s="767"/>
      <c r="R24" s="769"/>
      <c r="S24" s="769"/>
      <c r="T24" s="769"/>
      <c r="U24" s="769"/>
      <c r="V24" s="769"/>
      <c r="W24" s="767"/>
      <c r="X24" s="767"/>
      <c r="Y24" s="767"/>
      <c r="Z24" s="770"/>
      <c r="AA24" s="787">
        <f>SUM(C24:X24)</f>
        <v>9144.8</v>
      </c>
      <c r="AB24" s="689"/>
      <c r="AC24" s="690"/>
      <c r="AD24" s="690"/>
      <c r="AE24" s="690"/>
      <c r="AF24" s="690"/>
      <c r="AG24" s="690"/>
      <c r="AH24" s="690"/>
      <c r="AI24" s="690"/>
    </row>
    <row r="25" spans="1:35" s="655" customFormat="1" ht="15" thickBot="1">
      <c r="A25" s="1171" t="s">
        <v>0</v>
      </c>
      <c r="B25" s="1172"/>
      <c r="C25" s="788">
        <f aca="true" t="shared" si="4" ref="C25:Y25">SUM(C20:C24)</f>
        <v>86948</v>
      </c>
      <c r="D25" s="788">
        <f t="shared" si="4"/>
        <v>63737</v>
      </c>
      <c r="E25" s="788">
        <f t="shared" si="4"/>
        <v>18344</v>
      </c>
      <c r="F25" s="788">
        <f t="shared" si="4"/>
        <v>13229</v>
      </c>
      <c r="G25" s="788">
        <f t="shared" si="4"/>
        <v>336</v>
      </c>
      <c r="H25" s="788">
        <f t="shared" si="4"/>
        <v>11412.65</v>
      </c>
      <c r="I25" s="788">
        <f t="shared" si="4"/>
        <v>16601</v>
      </c>
      <c r="J25" s="788">
        <f t="shared" si="4"/>
        <v>32720.78</v>
      </c>
      <c r="K25" s="788">
        <f t="shared" si="4"/>
        <v>46155.270000000004</v>
      </c>
      <c r="L25" s="788">
        <f t="shared" si="4"/>
        <v>31317.9</v>
      </c>
      <c r="M25" s="788">
        <f t="shared" si="4"/>
        <v>26690</v>
      </c>
      <c r="N25" s="788">
        <f t="shared" si="4"/>
        <v>3116</v>
      </c>
      <c r="O25" s="788">
        <f t="shared" si="4"/>
        <v>377</v>
      </c>
      <c r="P25" s="788">
        <f t="shared" si="4"/>
        <v>0</v>
      </c>
      <c r="Q25" s="788">
        <f t="shared" si="4"/>
        <v>0</v>
      </c>
      <c r="R25" s="788">
        <f t="shared" si="4"/>
        <v>0</v>
      </c>
      <c r="S25" s="788">
        <f t="shared" si="4"/>
        <v>0</v>
      </c>
      <c r="T25" s="788">
        <f t="shared" si="4"/>
        <v>0</v>
      </c>
      <c r="U25" s="788">
        <f t="shared" si="4"/>
        <v>0</v>
      </c>
      <c r="V25" s="788">
        <f t="shared" si="4"/>
        <v>0</v>
      </c>
      <c r="W25" s="788">
        <f t="shared" si="4"/>
        <v>0</v>
      </c>
      <c r="X25" s="788">
        <f t="shared" si="4"/>
        <v>0</v>
      </c>
      <c r="Y25" s="788">
        <f t="shared" si="4"/>
        <v>0</v>
      </c>
      <c r="Z25" s="1024">
        <f>SUM(Z20:Z24)</f>
        <v>0</v>
      </c>
      <c r="AA25" s="789">
        <f>SUM(AA20:AA24)</f>
        <v>350984.6</v>
      </c>
      <c r="AB25" s="689"/>
      <c r="AC25" s="690"/>
      <c r="AD25" s="690"/>
      <c r="AE25" s="690"/>
      <c r="AF25" s="690"/>
      <c r="AG25" s="690"/>
      <c r="AH25" s="691"/>
      <c r="AI25" s="690"/>
    </row>
    <row r="26" spans="1:35" s="655" customFormat="1" ht="15" thickBot="1">
      <c r="A26" s="704"/>
      <c r="B26" s="704"/>
      <c r="C26" s="706"/>
      <c r="D26" s="706"/>
      <c r="E26" s="706"/>
      <c r="F26" s="706"/>
      <c r="G26" s="706"/>
      <c r="H26" s="706"/>
      <c r="I26" s="706"/>
      <c r="J26" s="706"/>
      <c r="K26" s="706"/>
      <c r="L26" s="706"/>
      <c r="M26" s="706"/>
      <c r="N26" s="706"/>
      <c r="O26" s="706"/>
      <c r="P26" s="706"/>
      <c r="Q26" s="706"/>
      <c r="R26" s="706"/>
      <c r="S26" s="706"/>
      <c r="T26" s="706"/>
      <c r="U26" s="706"/>
      <c r="V26" s="706"/>
      <c r="W26" s="706"/>
      <c r="X26" s="706"/>
      <c r="Y26" s="706"/>
      <c r="Z26" s="706"/>
      <c r="AA26" s="707"/>
      <c r="AB26" s="689"/>
      <c r="AC26" s="690"/>
      <c r="AD26" s="690"/>
      <c r="AE26" s="690"/>
      <c r="AF26" s="690"/>
      <c r="AG26" s="690"/>
      <c r="AH26" s="691"/>
      <c r="AI26" s="690"/>
    </row>
    <row r="27" spans="1:35" s="655" customFormat="1" ht="15.75" thickBot="1">
      <c r="A27" s="937" t="s">
        <v>137</v>
      </c>
      <c r="B27" s="938" t="s">
        <v>190</v>
      </c>
      <c r="C27" s="947"/>
      <c r="D27" s="948"/>
      <c r="E27" s="948"/>
      <c r="F27" s="948"/>
      <c r="G27" s="948"/>
      <c r="H27" s="948"/>
      <c r="I27" s="948"/>
      <c r="J27" s="948"/>
      <c r="K27" s="948"/>
      <c r="L27" s="948"/>
      <c r="M27" s="947"/>
      <c r="N27" s="947"/>
      <c r="O27" s="947"/>
      <c r="P27" s="947"/>
      <c r="Q27" s="947"/>
      <c r="R27" s="947"/>
      <c r="S27" s="947"/>
      <c r="T27" s="947"/>
      <c r="U27" s="947"/>
      <c r="V27" s="949"/>
      <c r="W27" s="947"/>
      <c r="X27" s="947"/>
      <c r="Y27" s="948"/>
      <c r="Z27" s="949"/>
      <c r="AA27" s="950"/>
      <c r="AB27" s="690"/>
      <c r="AC27" s="690"/>
      <c r="AD27" s="690"/>
      <c r="AE27" s="690"/>
      <c r="AF27" s="690"/>
      <c r="AG27" s="690"/>
      <c r="AH27" s="691"/>
      <c r="AI27" s="690"/>
    </row>
    <row r="28" spans="1:35" s="655" customFormat="1" ht="14.25">
      <c r="A28" s="751">
        <v>1</v>
      </c>
      <c r="B28" s="752" t="s">
        <v>219</v>
      </c>
      <c r="C28" s="753">
        <v>339</v>
      </c>
      <c r="D28" s="753">
        <v>511</v>
      </c>
      <c r="E28" s="753">
        <v>15819</v>
      </c>
      <c r="F28" s="753">
        <v>10907</v>
      </c>
      <c r="G28" s="753">
        <v>1204.89</v>
      </c>
      <c r="H28" s="753">
        <v>676.69</v>
      </c>
      <c r="I28" s="754">
        <v>9951.74</v>
      </c>
      <c r="J28" s="754">
        <v>5901.74</v>
      </c>
      <c r="K28" s="754">
        <v>9297.98</v>
      </c>
      <c r="L28" s="753">
        <v>8135.25</v>
      </c>
      <c r="M28" s="755">
        <v>2339</v>
      </c>
      <c r="N28" s="753">
        <v>7706.03</v>
      </c>
      <c r="O28" s="753">
        <v>2338</v>
      </c>
      <c r="P28" s="754"/>
      <c r="Q28" s="753">
        <v>850.82</v>
      </c>
      <c r="R28" s="754">
        <v>2311.5</v>
      </c>
      <c r="S28" s="754">
        <v>4561.68</v>
      </c>
      <c r="T28" s="754">
        <v>6537.71</v>
      </c>
      <c r="U28" s="754">
        <v>16874</v>
      </c>
      <c r="V28" s="754">
        <v>29915</v>
      </c>
      <c r="W28" s="753">
        <v>9637</v>
      </c>
      <c r="X28" s="753">
        <v>3499</v>
      </c>
      <c r="Y28" s="753"/>
      <c r="Z28" s="778"/>
      <c r="AA28" s="779">
        <f>SUM(C28:Z28)</f>
        <v>149314.03000000003</v>
      </c>
      <c r="AB28" s="689"/>
      <c r="AC28" s="690"/>
      <c r="AD28" s="690"/>
      <c r="AE28" s="690"/>
      <c r="AF28" s="690"/>
      <c r="AG28" s="690"/>
      <c r="AH28" s="691"/>
      <c r="AI28" s="690"/>
    </row>
    <row r="29" spans="1:35" s="655" customFormat="1" ht="14.25">
      <c r="A29" s="757">
        <v>2</v>
      </c>
      <c r="B29" s="758" t="s">
        <v>220</v>
      </c>
      <c r="C29" s="759"/>
      <c r="D29" s="759"/>
      <c r="E29" s="759"/>
      <c r="F29" s="759"/>
      <c r="G29" s="759"/>
      <c r="H29" s="759"/>
      <c r="I29" s="764"/>
      <c r="J29" s="764"/>
      <c r="K29" s="764"/>
      <c r="L29" s="759"/>
      <c r="M29" s="763">
        <v>1161</v>
      </c>
      <c r="N29" s="759">
        <v>15.61</v>
      </c>
      <c r="O29" s="759">
        <v>482</v>
      </c>
      <c r="P29" s="764">
        <v>1207.8</v>
      </c>
      <c r="Q29" s="759">
        <v>204.39</v>
      </c>
      <c r="R29" s="764">
        <v>1279.82</v>
      </c>
      <c r="S29" s="764">
        <v>1214.73</v>
      </c>
      <c r="T29" s="764"/>
      <c r="U29" s="764">
        <v>342</v>
      </c>
      <c r="V29" s="764">
        <v>4681</v>
      </c>
      <c r="W29" s="759">
        <v>3427</v>
      </c>
      <c r="X29" s="759">
        <v>2040</v>
      </c>
      <c r="Y29" s="759">
        <v>7329</v>
      </c>
      <c r="Z29" s="783">
        <v>1480</v>
      </c>
      <c r="AA29" s="784">
        <f aca="true" t="shared" si="5" ref="AA29:AA41">SUM(C29:Z29)</f>
        <v>24864.35</v>
      </c>
      <c r="AB29" s="690"/>
      <c r="AC29" s="690"/>
      <c r="AD29" s="690"/>
      <c r="AE29" s="690"/>
      <c r="AF29" s="690"/>
      <c r="AG29" s="690"/>
      <c r="AH29" s="690"/>
      <c r="AI29" s="690"/>
    </row>
    <row r="30" spans="1:35" s="655" customFormat="1" ht="14.25">
      <c r="A30" s="757">
        <v>3</v>
      </c>
      <c r="B30" s="758" t="s">
        <v>221</v>
      </c>
      <c r="C30" s="759">
        <f>7696-7696</f>
        <v>0</v>
      </c>
      <c r="D30" s="759">
        <f>8013-7879</f>
        <v>134</v>
      </c>
      <c r="E30" s="759">
        <f>7260-4093</f>
        <v>3167</v>
      </c>
      <c r="F30" s="759">
        <f>9798-3906</f>
        <v>5892</v>
      </c>
      <c r="G30" s="759">
        <v>6264.39</v>
      </c>
      <c r="H30" s="759">
        <v>48943.2</v>
      </c>
      <c r="I30" s="764">
        <v>17611.99</v>
      </c>
      <c r="J30" s="764">
        <v>22375.17</v>
      </c>
      <c r="K30" s="759">
        <v>26387.08</v>
      </c>
      <c r="L30" s="759">
        <v>16793.35</v>
      </c>
      <c r="M30" s="763">
        <v>2314</v>
      </c>
      <c r="N30" s="759">
        <v>2541.21</v>
      </c>
      <c r="O30" s="759">
        <v>2628</v>
      </c>
      <c r="P30" s="764">
        <v>2700.14</v>
      </c>
      <c r="Q30" s="759">
        <v>2588</v>
      </c>
      <c r="R30" s="764">
        <v>5481</v>
      </c>
      <c r="S30" s="764">
        <v>3691</v>
      </c>
      <c r="T30" s="764">
        <v>15301</v>
      </c>
      <c r="U30" s="764">
        <v>13048</v>
      </c>
      <c r="V30" s="764">
        <v>7654</v>
      </c>
      <c r="W30" s="759">
        <v>23471</v>
      </c>
      <c r="X30" s="759">
        <v>10435</v>
      </c>
      <c r="Y30" s="759">
        <v>15172</v>
      </c>
      <c r="Z30" s="783">
        <v>20135.100000000002</v>
      </c>
      <c r="AA30" s="784">
        <f t="shared" si="5"/>
        <v>274727.63</v>
      </c>
      <c r="AB30" s="689"/>
      <c r="AC30" s="689"/>
      <c r="AD30" s="689"/>
      <c r="AE30" s="689"/>
      <c r="AF30" s="689"/>
      <c r="AG30" s="689"/>
      <c r="AH30" s="689"/>
      <c r="AI30" s="690"/>
    </row>
    <row r="31" spans="1:35" s="655" customFormat="1" ht="14.25">
      <c r="A31" s="757">
        <v>4</v>
      </c>
      <c r="B31" s="758" t="s">
        <v>222</v>
      </c>
      <c r="C31" s="759">
        <f>7671-1328</f>
        <v>6343</v>
      </c>
      <c r="D31" s="759">
        <f>9110-1432</f>
        <v>7678</v>
      </c>
      <c r="E31" s="759">
        <f>6242-794</f>
        <v>5448</v>
      </c>
      <c r="F31" s="759">
        <f>4983-980</f>
        <v>4003</v>
      </c>
      <c r="G31" s="759">
        <v>1234</v>
      </c>
      <c r="H31" s="759">
        <v>5788</v>
      </c>
      <c r="I31" s="764">
        <v>10318</v>
      </c>
      <c r="J31" s="761"/>
      <c r="K31" s="758"/>
      <c r="L31" s="759"/>
      <c r="M31" s="763"/>
      <c r="N31" s="759"/>
      <c r="O31" s="759"/>
      <c r="P31" s="764"/>
      <c r="Q31" s="759"/>
      <c r="R31" s="764"/>
      <c r="S31" s="764"/>
      <c r="T31" s="764"/>
      <c r="U31" s="764"/>
      <c r="V31" s="764"/>
      <c r="W31" s="759"/>
      <c r="X31" s="759"/>
      <c r="Y31" s="759"/>
      <c r="Z31" s="783"/>
      <c r="AA31" s="784">
        <f t="shared" si="5"/>
        <v>40812</v>
      </c>
      <c r="AB31" s="690"/>
      <c r="AC31" s="690"/>
      <c r="AD31" s="690"/>
      <c r="AE31" s="690"/>
      <c r="AF31" s="690"/>
      <c r="AG31" s="690"/>
      <c r="AH31" s="690"/>
      <c r="AI31" s="690"/>
    </row>
    <row r="32" spans="1:35" s="655" customFormat="1" ht="14.25">
      <c r="A32" s="757">
        <v>5</v>
      </c>
      <c r="B32" s="758" t="s">
        <v>223</v>
      </c>
      <c r="C32" s="759"/>
      <c r="D32" s="759"/>
      <c r="E32" s="759"/>
      <c r="F32" s="759"/>
      <c r="G32" s="759"/>
      <c r="H32" s="759"/>
      <c r="I32" s="764"/>
      <c r="J32" s="761"/>
      <c r="K32" s="758"/>
      <c r="L32" s="759"/>
      <c r="M32" s="763"/>
      <c r="N32" s="759"/>
      <c r="O32" s="759"/>
      <c r="P32" s="764"/>
      <c r="Q32" s="759"/>
      <c r="R32" s="764"/>
      <c r="S32" s="764"/>
      <c r="T32" s="764"/>
      <c r="U32" s="764"/>
      <c r="V32" s="764"/>
      <c r="W32" s="759"/>
      <c r="X32" s="759">
        <v>156</v>
      </c>
      <c r="Y32" s="759"/>
      <c r="Z32" s="783"/>
      <c r="AA32" s="784">
        <f t="shared" si="5"/>
        <v>156</v>
      </c>
      <c r="AB32" s="690"/>
      <c r="AC32" s="690"/>
      <c r="AD32" s="690"/>
      <c r="AE32" s="690"/>
      <c r="AF32" s="690"/>
      <c r="AG32" s="690"/>
      <c r="AH32" s="690"/>
      <c r="AI32" s="690"/>
    </row>
    <row r="33" spans="1:35" s="655" customFormat="1" ht="14.25">
      <c r="A33" s="757">
        <v>6</v>
      </c>
      <c r="B33" s="758" t="s">
        <v>224</v>
      </c>
      <c r="C33" s="790"/>
      <c r="D33" s="759"/>
      <c r="E33" s="759"/>
      <c r="F33" s="759"/>
      <c r="G33" s="759"/>
      <c r="H33" s="759"/>
      <c r="I33" s="761"/>
      <c r="J33" s="761"/>
      <c r="K33" s="758"/>
      <c r="L33" s="759">
        <f>3793.009/3.38</f>
        <v>1122.1920118343196</v>
      </c>
      <c r="M33" s="763">
        <v>1363</v>
      </c>
      <c r="N33" s="759">
        <v>558.87</v>
      </c>
      <c r="O33" s="759">
        <v>337</v>
      </c>
      <c r="P33" s="764">
        <v>92.6</v>
      </c>
      <c r="Q33" s="759"/>
      <c r="R33" s="764">
        <v>338</v>
      </c>
      <c r="S33" s="764">
        <v>1272.76</v>
      </c>
      <c r="T33" s="764">
        <v>1531.09</v>
      </c>
      <c r="U33" s="764"/>
      <c r="V33" s="764">
        <v>3804</v>
      </c>
      <c r="W33" s="790">
        <v>2632</v>
      </c>
      <c r="X33" s="790">
        <v>6393</v>
      </c>
      <c r="Y33" s="790"/>
      <c r="Z33" s="791">
        <v>12629</v>
      </c>
      <c r="AA33" s="784">
        <f t="shared" si="5"/>
        <v>32073.51201183432</v>
      </c>
      <c r="AB33" s="690"/>
      <c r="AC33" s="690"/>
      <c r="AD33" s="690"/>
      <c r="AE33" s="690"/>
      <c r="AF33" s="690"/>
      <c r="AG33" s="690"/>
      <c r="AH33" s="690"/>
      <c r="AI33" s="690"/>
    </row>
    <row r="34" spans="1:35" s="655" customFormat="1" ht="14.25">
      <c r="A34" s="757">
        <v>7</v>
      </c>
      <c r="B34" s="758" t="s">
        <v>194</v>
      </c>
      <c r="C34" s="759">
        <f>6588-6588</f>
        <v>0</v>
      </c>
      <c r="D34" s="759">
        <f>8756-7723</f>
        <v>1033</v>
      </c>
      <c r="E34" s="759">
        <f>10742-2386</f>
        <v>8356</v>
      </c>
      <c r="F34" s="759">
        <f>9851-2610</f>
        <v>7241</v>
      </c>
      <c r="G34" s="759">
        <v>7337</v>
      </c>
      <c r="H34" s="759">
        <v>11849</v>
      </c>
      <c r="I34" s="759">
        <v>17145</v>
      </c>
      <c r="J34" s="759">
        <v>6522</v>
      </c>
      <c r="K34" s="758"/>
      <c r="L34" s="759"/>
      <c r="M34" s="763"/>
      <c r="N34" s="759"/>
      <c r="O34" s="759">
        <v>3312</v>
      </c>
      <c r="P34" s="764">
        <v>15741</v>
      </c>
      <c r="Q34" s="759">
        <v>13218</v>
      </c>
      <c r="R34" s="764">
        <v>16103</v>
      </c>
      <c r="S34" s="764">
        <v>16699</v>
      </c>
      <c r="T34" s="764">
        <v>10091</v>
      </c>
      <c r="U34" s="764">
        <v>20851</v>
      </c>
      <c r="V34" s="764">
        <v>41043</v>
      </c>
      <c r="W34" s="759">
        <v>33261</v>
      </c>
      <c r="X34" s="759">
        <v>13306</v>
      </c>
      <c r="Y34" s="759">
        <v>13774</v>
      </c>
      <c r="Z34" s="783">
        <v>24315</v>
      </c>
      <c r="AA34" s="784">
        <f t="shared" si="5"/>
        <v>281197</v>
      </c>
      <c r="AB34" s="689"/>
      <c r="AC34" s="689"/>
      <c r="AD34" s="689"/>
      <c r="AE34" s="690"/>
      <c r="AF34" s="690"/>
      <c r="AG34" s="690"/>
      <c r="AH34" s="690"/>
      <c r="AI34" s="690"/>
    </row>
    <row r="35" spans="1:57" s="655" customFormat="1" ht="15">
      <c r="A35" s="757">
        <v>8</v>
      </c>
      <c r="B35" s="758" t="s">
        <v>209</v>
      </c>
      <c r="C35" s="759">
        <v>63</v>
      </c>
      <c r="D35" s="759">
        <v>12342</v>
      </c>
      <c r="E35" s="759">
        <v>21804</v>
      </c>
      <c r="F35" s="759">
        <v>24126</v>
      </c>
      <c r="G35" s="792"/>
      <c r="H35" s="792"/>
      <c r="I35" s="792"/>
      <c r="J35" s="792"/>
      <c r="K35" s="792"/>
      <c r="L35" s="792"/>
      <c r="M35" s="793"/>
      <c r="N35" s="792"/>
      <c r="O35" s="792"/>
      <c r="P35" s="794"/>
      <c r="Q35" s="792"/>
      <c r="R35" s="764"/>
      <c r="S35" s="764"/>
      <c r="T35" s="764"/>
      <c r="U35" s="764"/>
      <c r="V35" s="764"/>
      <c r="W35" s="759"/>
      <c r="X35" s="759"/>
      <c r="Y35" s="759"/>
      <c r="Z35" s="783"/>
      <c r="AA35" s="784">
        <f t="shared" si="5"/>
        <v>58335</v>
      </c>
      <c r="AB35" s="689"/>
      <c r="AC35" s="689"/>
      <c r="AD35" s="689"/>
      <c r="AE35" s="689"/>
      <c r="AF35" s="689"/>
      <c r="AG35" s="689"/>
      <c r="AH35" s="689"/>
      <c r="AI35" s="689"/>
      <c r="AK35" s="727"/>
      <c r="AL35" s="727"/>
      <c r="AM35" s="727"/>
      <c r="AN35" s="727"/>
      <c r="AO35" s="727"/>
      <c r="AP35" s="727"/>
      <c r="AQ35" s="727"/>
      <c r="AR35" s="727"/>
      <c r="AS35" s="727"/>
      <c r="AT35" s="727"/>
      <c r="AU35" s="727"/>
      <c r="AV35" s="727"/>
      <c r="AW35" s="727"/>
      <c r="AX35" s="727"/>
      <c r="AY35" s="727"/>
      <c r="AZ35" s="727"/>
      <c r="BA35" s="727"/>
      <c r="BB35" s="727"/>
      <c r="BC35" s="727"/>
      <c r="BD35" s="727"/>
      <c r="BE35" s="727"/>
    </row>
    <row r="36" spans="1:35" s="655" customFormat="1" ht="14.25">
      <c r="A36" s="757">
        <v>9</v>
      </c>
      <c r="B36" s="758" t="s">
        <v>196</v>
      </c>
      <c r="C36" s="759">
        <f>2120-2120</f>
        <v>0</v>
      </c>
      <c r="D36" s="759">
        <f>3345-2264</f>
        <v>1081</v>
      </c>
      <c r="E36" s="764">
        <f>8241-1867</f>
        <v>6374</v>
      </c>
      <c r="F36" s="764">
        <f>13496-2413</f>
        <v>11083</v>
      </c>
      <c r="G36" s="764">
        <v>10700</v>
      </c>
      <c r="H36" s="764">
        <v>10705</v>
      </c>
      <c r="I36" s="764">
        <v>12108</v>
      </c>
      <c r="J36" s="764">
        <v>19868</v>
      </c>
      <c r="K36" s="764"/>
      <c r="L36" s="759"/>
      <c r="M36" s="763"/>
      <c r="N36" s="759"/>
      <c r="O36" s="759">
        <v>1744</v>
      </c>
      <c r="P36" s="764">
        <v>2006</v>
      </c>
      <c r="Q36" s="759">
        <v>5355</v>
      </c>
      <c r="R36" s="764">
        <v>6465</v>
      </c>
      <c r="S36" s="764">
        <v>7907</v>
      </c>
      <c r="T36" s="764">
        <v>7547</v>
      </c>
      <c r="U36" s="764">
        <v>9518</v>
      </c>
      <c r="V36" s="764">
        <v>12874</v>
      </c>
      <c r="W36" s="759">
        <v>9313</v>
      </c>
      <c r="X36" s="759">
        <v>6172</v>
      </c>
      <c r="Y36" s="759">
        <v>8784</v>
      </c>
      <c r="Z36" s="783">
        <v>20133</v>
      </c>
      <c r="AA36" s="784">
        <f t="shared" si="5"/>
        <v>169737</v>
      </c>
      <c r="AB36" s="689"/>
      <c r="AC36" s="689"/>
      <c r="AD36" s="689"/>
      <c r="AE36" s="689"/>
      <c r="AF36" s="689"/>
      <c r="AG36" s="689"/>
      <c r="AH36" s="689"/>
      <c r="AI36" s="690"/>
    </row>
    <row r="37" spans="1:35" s="655" customFormat="1" ht="14.25">
      <c r="A37" s="757">
        <v>10</v>
      </c>
      <c r="B37" s="758" t="s">
        <v>197</v>
      </c>
      <c r="C37" s="759">
        <f>14046-14046</f>
        <v>0</v>
      </c>
      <c r="D37" s="759">
        <f>15226-15053</f>
        <v>173</v>
      </c>
      <c r="E37" s="759">
        <f>12326-8659</f>
        <v>3667</v>
      </c>
      <c r="F37" s="759">
        <f>12940-6356</f>
        <v>6584</v>
      </c>
      <c r="G37" s="759">
        <v>8134</v>
      </c>
      <c r="H37" s="759">
        <v>2493</v>
      </c>
      <c r="I37" s="764">
        <v>10362</v>
      </c>
      <c r="J37" s="764">
        <v>4692</v>
      </c>
      <c r="K37" s="761"/>
      <c r="L37" s="759"/>
      <c r="M37" s="763"/>
      <c r="N37" s="759"/>
      <c r="O37" s="759">
        <v>5385</v>
      </c>
      <c r="P37" s="764">
        <v>3282</v>
      </c>
      <c r="Q37" s="759">
        <v>5467</v>
      </c>
      <c r="R37" s="764">
        <v>4687</v>
      </c>
      <c r="S37" s="764">
        <v>4789.4</v>
      </c>
      <c r="T37" s="764">
        <v>5808.1</v>
      </c>
      <c r="U37" s="764">
        <v>6336</v>
      </c>
      <c r="V37" s="795">
        <v>19311</v>
      </c>
      <c r="W37" s="759">
        <v>16366</v>
      </c>
      <c r="X37" s="759">
        <v>10611</v>
      </c>
      <c r="Y37" s="759">
        <v>14356</v>
      </c>
      <c r="Z37" s="783">
        <v>5976</v>
      </c>
      <c r="AA37" s="784">
        <f t="shared" si="5"/>
        <v>138479.5</v>
      </c>
      <c r="AB37" s="690"/>
      <c r="AC37" s="690"/>
      <c r="AD37" s="690"/>
      <c r="AE37" s="690"/>
      <c r="AF37" s="690"/>
      <c r="AG37" s="690"/>
      <c r="AH37" s="690"/>
      <c r="AI37" s="690"/>
    </row>
    <row r="38" spans="1:61" s="655" customFormat="1" ht="14.25">
      <c r="A38" s="757">
        <v>11</v>
      </c>
      <c r="B38" s="758" t="s">
        <v>225</v>
      </c>
      <c r="C38" s="759">
        <v>178</v>
      </c>
      <c r="D38" s="759">
        <f>224-209</f>
        <v>15</v>
      </c>
      <c r="E38" s="759">
        <f>1926-580</f>
        <v>1346</v>
      </c>
      <c r="F38" s="759">
        <f>2811-1315</f>
        <v>1496</v>
      </c>
      <c r="G38" s="759">
        <v>1211.37</v>
      </c>
      <c r="H38" s="759">
        <v>997.86</v>
      </c>
      <c r="I38" s="764">
        <v>3855.56</v>
      </c>
      <c r="J38" s="764">
        <v>2857.4</v>
      </c>
      <c r="K38" s="764">
        <v>1957.31</v>
      </c>
      <c r="L38" s="759">
        <v>1092.5</v>
      </c>
      <c r="M38" s="763">
        <v>1293</v>
      </c>
      <c r="N38" s="759">
        <v>999</v>
      </c>
      <c r="O38" s="759">
        <v>1537</v>
      </c>
      <c r="P38" s="764">
        <v>1279</v>
      </c>
      <c r="Q38" s="759">
        <v>1150</v>
      </c>
      <c r="R38" s="764">
        <v>1360</v>
      </c>
      <c r="S38" s="764">
        <v>2183</v>
      </c>
      <c r="T38" s="764">
        <v>1313</v>
      </c>
      <c r="U38" s="764">
        <v>2135</v>
      </c>
      <c r="V38" s="764">
        <v>3468</v>
      </c>
      <c r="W38" s="759">
        <v>6487</v>
      </c>
      <c r="X38" s="759">
        <v>2448</v>
      </c>
      <c r="Y38" s="759">
        <v>5586</v>
      </c>
      <c r="Z38" s="783">
        <v>1346</v>
      </c>
      <c r="AA38" s="784">
        <f t="shared" si="5"/>
        <v>47591</v>
      </c>
      <c r="AB38" s="689"/>
      <c r="AC38" s="689"/>
      <c r="AD38" s="689"/>
      <c r="AE38" s="689"/>
      <c r="AF38" s="689"/>
      <c r="AG38" s="689"/>
      <c r="AH38" s="689"/>
      <c r="AI38" s="689"/>
      <c r="AK38" s="727"/>
      <c r="AL38" s="727"/>
      <c r="AM38" s="727"/>
      <c r="AN38" s="727"/>
      <c r="AO38" s="727"/>
      <c r="AP38" s="727"/>
      <c r="AQ38" s="727"/>
      <c r="AR38" s="727"/>
      <c r="AS38" s="727"/>
      <c r="AT38" s="727"/>
      <c r="AU38" s="727"/>
      <c r="AV38" s="727"/>
      <c r="AW38" s="727"/>
      <c r="AX38" s="727"/>
      <c r="AY38" s="727"/>
      <c r="AZ38" s="727"/>
      <c r="BA38" s="727"/>
      <c r="BB38" s="727"/>
      <c r="BC38" s="727"/>
      <c r="BD38" s="727"/>
      <c r="BE38" s="727"/>
      <c r="BF38" s="727"/>
      <c r="BG38" s="727"/>
      <c r="BH38" s="727"/>
      <c r="BI38" s="727"/>
    </row>
    <row r="39" spans="1:61" s="655" customFormat="1" ht="14.25">
      <c r="A39" s="757">
        <v>12</v>
      </c>
      <c r="B39" s="758" t="s">
        <v>226</v>
      </c>
      <c r="C39" s="759">
        <f>3269-3269</f>
        <v>0</v>
      </c>
      <c r="D39" s="759">
        <f>4493-4085</f>
        <v>408</v>
      </c>
      <c r="E39" s="759">
        <f>3437-1343</f>
        <v>2094</v>
      </c>
      <c r="F39" s="759">
        <f>6247-2125</f>
        <v>4122</v>
      </c>
      <c r="G39" s="759">
        <v>4819</v>
      </c>
      <c r="H39" s="759">
        <v>16692</v>
      </c>
      <c r="I39" s="759">
        <v>4796</v>
      </c>
      <c r="J39" s="759">
        <v>1239</v>
      </c>
      <c r="K39" s="758"/>
      <c r="L39" s="759"/>
      <c r="M39" s="763"/>
      <c r="N39" s="759"/>
      <c r="O39" s="759">
        <v>8368</v>
      </c>
      <c r="P39" s="764">
        <v>13385</v>
      </c>
      <c r="Q39" s="759">
        <v>16150</v>
      </c>
      <c r="R39" s="764">
        <v>19008</v>
      </c>
      <c r="S39" s="764">
        <v>15852.33</v>
      </c>
      <c r="T39" s="764">
        <v>13470</v>
      </c>
      <c r="U39" s="764">
        <v>27740</v>
      </c>
      <c r="V39" s="764">
        <v>31438</v>
      </c>
      <c r="W39" s="759">
        <v>25874</v>
      </c>
      <c r="X39" s="759">
        <v>14451</v>
      </c>
      <c r="Y39" s="759">
        <v>11074</v>
      </c>
      <c r="Z39" s="783">
        <v>24005</v>
      </c>
      <c r="AA39" s="784">
        <f t="shared" si="5"/>
        <v>254985.33000000002</v>
      </c>
      <c r="AB39" s="689"/>
      <c r="AC39" s="689"/>
      <c r="AD39" s="689"/>
      <c r="AE39" s="689"/>
      <c r="AF39" s="689"/>
      <c r="AG39" s="689"/>
      <c r="AH39" s="689"/>
      <c r="AI39" s="689"/>
      <c r="AK39" s="727"/>
      <c r="AL39" s="727"/>
      <c r="AM39" s="727"/>
      <c r="AN39" s="727"/>
      <c r="AO39" s="727"/>
      <c r="AP39" s="727"/>
      <c r="AQ39" s="727"/>
      <c r="AR39" s="727"/>
      <c r="AS39" s="727"/>
      <c r="AT39" s="727"/>
      <c r="AU39" s="727"/>
      <c r="AV39" s="727"/>
      <c r="AW39" s="727"/>
      <c r="AX39" s="727"/>
      <c r="AY39" s="727"/>
      <c r="AZ39" s="727"/>
      <c r="BA39" s="727"/>
      <c r="BB39" s="727"/>
      <c r="BC39" s="727"/>
      <c r="BD39" s="727"/>
      <c r="BE39" s="727"/>
      <c r="BF39" s="727"/>
      <c r="BG39" s="727"/>
      <c r="BH39" s="727"/>
      <c r="BI39" s="727"/>
    </row>
    <row r="40" spans="1:61" s="655" customFormat="1" ht="14.25">
      <c r="A40" s="757">
        <v>13</v>
      </c>
      <c r="B40" s="758" t="s">
        <v>227</v>
      </c>
      <c r="C40" s="759"/>
      <c r="D40" s="759"/>
      <c r="E40" s="759"/>
      <c r="F40" s="759"/>
      <c r="G40" s="759"/>
      <c r="H40" s="759"/>
      <c r="I40" s="759"/>
      <c r="J40" s="759"/>
      <c r="K40" s="759"/>
      <c r="L40" s="759"/>
      <c r="M40" s="763">
        <v>351</v>
      </c>
      <c r="N40" s="759">
        <v>0</v>
      </c>
      <c r="O40" s="759"/>
      <c r="P40" s="764"/>
      <c r="Q40" s="759"/>
      <c r="R40" s="764"/>
      <c r="S40" s="764">
        <v>135.65</v>
      </c>
      <c r="T40" s="764"/>
      <c r="U40" s="764"/>
      <c r="V40" s="764"/>
      <c r="W40" s="759"/>
      <c r="X40" s="759"/>
      <c r="Y40" s="759"/>
      <c r="Z40" s="783"/>
      <c r="AA40" s="784">
        <f t="shared" si="5"/>
        <v>486.65</v>
      </c>
      <c r="AB40" s="689"/>
      <c r="AC40" s="689"/>
      <c r="AD40" s="689"/>
      <c r="AE40" s="689"/>
      <c r="AF40" s="689"/>
      <c r="AG40" s="689"/>
      <c r="AH40" s="689"/>
      <c r="AI40" s="689"/>
      <c r="AK40" s="727"/>
      <c r="AL40" s="727"/>
      <c r="AM40" s="727"/>
      <c r="AN40" s="727"/>
      <c r="AO40" s="727"/>
      <c r="AP40" s="727"/>
      <c r="AQ40" s="727"/>
      <c r="AR40" s="727"/>
      <c r="AS40" s="727"/>
      <c r="AT40" s="727"/>
      <c r="AU40" s="727"/>
      <c r="AV40" s="727"/>
      <c r="AW40" s="727"/>
      <c r="AX40" s="727"/>
      <c r="AY40" s="727"/>
      <c r="AZ40" s="727"/>
      <c r="BA40" s="727"/>
      <c r="BB40" s="727"/>
      <c r="BC40" s="727"/>
      <c r="BD40" s="727"/>
      <c r="BE40" s="727"/>
      <c r="BF40" s="727"/>
      <c r="BG40" s="727"/>
      <c r="BH40" s="727"/>
      <c r="BI40" s="727"/>
    </row>
    <row r="41" spans="1:61" ht="15" thickBot="1">
      <c r="A41" s="757">
        <v>14</v>
      </c>
      <c r="B41" s="796" t="s">
        <v>228</v>
      </c>
      <c r="C41" s="797">
        <f>2268-2248</f>
        <v>20</v>
      </c>
      <c r="D41" s="797">
        <f>2642-2410</f>
        <v>232</v>
      </c>
      <c r="E41" s="797">
        <f>7490-1327</f>
        <v>6163</v>
      </c>
      <c r="F41" s="797">
        <f>11250-1154</f>
        <v>10096</v>
      </c>
      <c r="G41" s="797">
        <v>3621.33</v>
      </c>
      <c r="H41" s="797">
        <v>6737.49</v>
      </c>
      <c r="I41" s="797">
        <v>8959.48</v>
      </c>
      <c r="J41" s="797">
        <v>8476.7</v>
      </c>
      <c r="K41" s="797">
        <v>4454.59</v>
      </c>
      <c r="L41" s="797">
        <v>6931.458</v>
      </c>
      <c r="M41" s="798">
        <v>7262</v>
      </c>
      <c r="N41" s="797">
        <v>3844.88</v>
      </c>
      <c r="O41" s="797">
        <v>5549</v>
      </c>
      <c r="P41" s="799">
        <v>4033</v>
      </c>
      <c r="Q41" s="797">
        <v>4131</v>
      </c>
      <c r="R41" s="799">
        <v>6606</v>
      </c>
      <c r="S41" s="799">
        <v>8237.03</v>
      </c>
      <c r="T41" s="799">
        <v>4617</v>
      </c>
      <c r="U41" s="799">
        <v>5525</v>
      </c>
      <c r="V41" s="799">
        <v>6944</v>
      </c>
      <c r="W41" s="797">
        <v>10029</v>
      </c>
      <c r="X41" s="797">
        <v>8867</v>
      </c>
      <c r="Y41" s="797">
        <v>10268</v>
      </c>
      <c r="Z41" s="800">
        <v>14879</v>
      </c>
      <c r="AA41" s="801">
        <f t="shared" si="5"/>
        <v>156483.95799999998</v>
      </c>
      <c r="AB41" s="702"/>
      <c r="AC41" s="702"/>
      <c r="AD41" s="702"/>
      <c r="AE41" s="702"/>
      <c r="AF41" s="702"/>
      <c r="AG41" s="702"/>
      <c r="AH41" s="702"/>
      <c r="AI41" s="702"/>
      <c r="AK41" s="802"/>
      <c r="AL41" s="802"/>
      <c r="AM41" s="802"/>
      <c r="AN41" s="802"/>
      <c r="AO41" s="802"/>
      <c r="AP41" s="802"/>
      <c r="AQ41" s="802"/>
      <c r="AR41" s="802"/>
      <c r="AS41" s="802"/>
      <c r="AT41" s="802"/>
      <c r="AU41" s="802"/>
      <c r="AV41" s="802"/>
      <c r="AW41" s="802"/>
      <c r="AX41" s="802"/>
      <c r="AY41" s="802"/>
      <c r="AZ41" s="802"/>
      <c r="BA41" s="802"/>
      <c r="BB41" s="802"/>
      <c r="BC41" s="802"/>
      <c r="BD41" s="802"/>
      <c r="BE41" s="802"/>
      <c r="BF41" s="802"/>
      <c r="BG41" s="802"/>
      <c r="BH41" s="802"/>
      <c r="BI41" s="802"/>
    </row>
    <row r="42" spans="1:61" ht="15" thickBot="1">
      <c r="A42" s="1171" t="s">
        <v>0</v>
      </c>
      <c r="B42" s="1172"/>
      <c r="C42" s="788">
        <f aca="true" t="shared" si="6" ref="C42:AA42">SUM(C28:C41)</f>
        <v>6943</v>
      </c>
      <c r="D42" s="788">
        <f t="shared" si="6"/>
        <v>23607</v>
      </c>
      <c r="E42" s="788">
        <f t="shared" si="6"/>
        <v>74238</v>
      </c>
      <c r="F42" s="788">
        <f t="shared" si="6"/>
        <v>85550</v>
      </c>
      <c r="G42" s="788">
        <f t="shared" si="6"/>
        <v>44525.98</v>
      </c>
      <c r="H42" s="788">
        <f t="shared" si="6"/>
        <v>104882.24</v>
      </c>
      <c r="I42" s="788">
        <f t="shared" si="6"/>
        <v>95107.77</v>
      </c>
      <c r="J42" s="788">
        <f t="shared" si="6"/>
        <v>71932.01</v>
      </c>
      <c r="K42" s="788">
        <f t="shared" si="6"/>
        <v>42096.95999999999</v>
      </c>
      <c r="L42" s="788">
        <f t="shared" si="6"/>
        <v>34074.750011834316</v>
      </c>
      <c r="M42" s="788">
        <f t="shared" si="6"/>
        <v>16083</v>
      </c>
      <c r="N42" s="788">
        <f t="shared" si="6"/>
        <v>15665.599999999999</v>
      </c>
      <c r="O42" s="788">
        <f t="shared" si="6"/>
        <v>31680</v>
      </c>
      <c r="P42" s="788">
        <f t="shared" si="6"/>
        <v>43726.54</v>
      </c>
      <c r="Q42" s="788">
        <f t="shared" si="6"/>
        <v>49114.21</v>
      </c>
      <c r="R42" s="788">
        <f t="shared" si="6"/>
        <v>63639.32</v>
      </c>
      <c r="S42" s="788">
        <f t="shared" si="6"/>
        <v>66543.58</v>
      </c>
      <c r="T42" s="788">
        <f t="shared" si="6"/>
        <v>66215.9</v>
      </c>
      <c r="U42" s="788">
        <f t="shared" si="6"/>
        <v>102369</v>
      </c>
      <c r="V42" s="788">
        <f t="shared" si="6"/>
        <v>161132</v>
      </c>
      <c r="W42" s="788">
        <f t="shared" si="6"/>
        <v>140497</v>
      </c>
      <c r="X42" s="788">
        <f t="shared" si="6"/>
        <v>78378</v>
      </c>
      <c r="Y42" s="788">
        <f t="shared" si="6"/>
        <v>86343</v>
      </c>
      <c r="Z42" s="788">
        <f>SUM(Z28:Z41)</f>
        <v>124898.1</v>
      </c>
      <c r="AA42" s="789">
        <f t="shared" si="6"/>
        <v>1629242.9600118343</v>
      </c>
      <c r="AB42" s="702"/>
      <c r="AC42" s="702"/>
      <c r="AD42" s="702"/>
      <c r="AE42" s="702"/>
      <c r="AF42" s="702"/>
      <c r="AG42" s="702"/>
      <c r="AH42" s="702"/>
      <c r="AI42" s="702"/>
      <c r="AK42" s="802"/>
      <c r="AL42" s="802"/>
      <c r="AM42" s="802"/>
      <c r="AN42" s="802"/>
      <c r="AO42" s="802"/>
      <c r="AP42" s="802"/>
      <c r="AQ42" s="802"/>
      <c r="AR42" s="802"/>
      <c r="AS42" s="802"/>
      <c r="AT42" s="802"/>
      <c r="AU42" s="802"/>
      <c r="AV42" s="802"/>
      <c r="AW42" s="802"/>
      <c r="AX42" s="802"/>
      <c r="AY42" s="802"/>
      <c r="AZ42" s="802"/>
      <c r="BA42" s="802"/>
      <c r="BB42" s="802"/>
      <c r="BC42" s="802"/>
      <c r="BD42" s="802"/>
      <c r="BE42" s="802"/>
      <c r="BF42" s="802"/>
      <c r="BG42" s="802"/>
      <c r="BH42" s="802"/>
      <c r="BI42" s="802"/>
    </row>
    <row r="43" spans="1:61" ht="14.25">
      <c r="A43" s="803" t="s">
        <v>229</v>
      </c>
      <c r="B43" s="704"/>
      <c r="C43" s="706"/>
      <c r="D43" s="706"/>
      <c r="E43" s="706"/>
      <c r="F43" s="706"/>
      <c r="G43" s="706"/>
      <c r="H43" s="706"/>
      <c r="I43" s="706"/>
      <c r="J43" s="706"/>
      <c r="K43" s="706"/>
      <c r="L43" s="706"/>
      <c r="M43" s="706"/>
      <c r="N43" s="706"/>
      <c r="O43" s="706"/>
      <c r="P43" s="706"/>
      <c r="Q43" s="706"/>
      <c r="R43" s="706"/>
      <c r="S43" s="706"/>
      <c r="T43" s="706"/>
      <c r="U43" s="706"/>
      <c r="V43" s="706"/>
      <c r="W43" s="706"/>
      <c r="X43" s="706"/>
      <c r="Y43" s="706"/>
      <c r="Z43" s="706"/>
      <c r="AA43" s="707"/>
      <c r="AB43" s="702"/>
      <c r="AC43" s="702"/>
      <c r="AD43" s="702"/>
      <c r="AE43" s="702"/>
      <c r="AF43" s="702"/>
      <c r="AG43" s="702"/>
      <c r="AH43" s="702"/>
      <c r="AI43" s="702"/>
      <c r="AK43" s="802"/>
      <c r="AL43" s="802"/>
      <c r="AM43" s="802"/>
      <c r="AN43" s="802"/>
      <c r="AO43" s="802"/>
      <c r="AP43" s="802"/>
      <c r="AQ43" s="802"/>
      <c r="AR43" s="802"/>
      <c r="AS43" s="802"/>
      <c r="AT43" s="802"/>
      <c r="AU43" s="802"/>
      <c r="AV43" s="802"/>
      <c r="AW43" s="802"/>
      <c r="AX43" s="802"/>
      <c r="AY43" s="802"/>
      <c r="AZ43" s="802"/>
      <c r="BA43" s="802"/>
      <c r="BB43" s="802"/>
      <c r="BC43" s="802"/>
      <c r="BD43" s="802"/>
      <c r="BE43" s="802"/>
      <c r="BF43" s="802"/>
      <c r="BG43" s="802"/>
      <c r="BH43" s="802"/>
      <c r="BI43" s="802"/>
    </row>
    <row r="44" spans="1:61" ht="14.25">
      <c r="A44" s="803"/>
      <c r="B44" s="704"/>
      <c r="C44" s="706"/>
      <c r="D44" s="706"/>
      <c r="E44" s="706"/>
      <c r="F44" s="706"/>
      <c r="G44" s="706"/>
      <c r="H44" s="706"/>
      <c r="I44" s="706"/>
      <c r="J44" s="706"/>
      <c r="K44" s="706"/>
      <c r="L44" s="706"/>
      <c r="M44" s="706"/>
      <c r="N44" s="706"/>
      <c r="O44" s="706"/>
      <c r="P44" s="706"/>
      <c r="Q44" s="706"/>
      <c r="R44" s="706"/>
      <c r="S44" s="706"/>
      <c r="T44" s="706"/>
      <c r="U44" s="706"/>
      <c r="V44" s="706"/>
      <c r="W44" s="706"/>
      <c r="X44" s="706"/>
      <c r="Y44" s="706"/>
      <c r="Z44" s="706"/>
      <c r="AA44" s="707"/>
      <c r="AB44" s="702"/>
      <c r="AC44" s="702"/>
      <c r="AD44" s="702"/>
      <c r="AE44" s="702"/>
      <c r="AF44" s="702"/>
      <c r="AG44" s="702"/>
      <c r="AH44" s="702"/>
      <c r="AI44" s="702"/>
      <c r="AK44" s="802"/>
      <c r="AL44" s="802"/>
      <c r="AM44" s="802"/>
      <c r="AN44" s="802"/>
      <c r="AO44" s="802"/>
      <c r="AP44" s="802"/>
      <c r="AQ44" s="802"/>
      <c r="AR44" s="802"/>
      <c r="AS44" s="802"/>
      <c r="AT44" s="802"/>
      <c r="AU44" s="802"/>
      <c r="AV44" s="802"/>
      <c r="AW44" s="802"/>
      <c r="AX44" s="802"/>
      <c r="AY44" s="802"/>
      <c r="AZ44" s="802"/>
      <c r="BA44" s="802"/>
      <c r="BB44" s="802"/>
      <c r="BC44" s="802"/>
      <c r="BD44" s="802"/>
      <c r="BE44" s="802"/>
      <c r="BF44" s="802"/>
      <c r="BG44" s="802"/>
      <c r="BH44" s="802"/>
      <c r="BI44" s="802"/>
    </row>
    <row r="45" spans="1:61" ht="14.25">
      <c r="A45" s="704"/>
      <c r="B45" s="704"/>
      <c r="C45" s="706"/>
      <c r="D45" s="706"/>
      <c r="E45" s="706"/>
      <c r="F45" s="706"/>
      <c r="G45" s="706"/>
      <c r="H45" s="706"/>
      <c r="I45" s="706"/>
      <c r="J45" s="706"/>
      <c r="K45" s="706"/>
      <c r="L45" s="706"/>
      <c r="M45" s="706"/>
      <c r="N45" s="706"/>
      <c r="O45" s="706"/>
      <c r="P45" s="706"/>
      <c r="Q45" s="706"/>
      <c r="R45" s="706"/>
      <c r="S45" s="706"/>
      <c r="T45" s="706"/>
      <c r="U45" s="706"/>
      <c r="V45" s="706"/>
      <c r="W45" s="706"/>
      <c r="X45" s="706"/>
      <c r="Y45" s="706"/>
      <c r="Z45" s="706"/>
      <c r="AA45" s="707"/>
      <c r="AB45" s="702"/>
      <c r="AC45" s="702"/>
      <c r="AD45" s="702"/>
      <c r="AE45" s="702"/>
      <c r="AF45" s="702"/>
      <c r="AG45" s="702"/>
      <c r="AH45" s="702"/>
      <c r="AI45" s="702"/>
      <c r="AK45" s="802"/>
      <c r="AL45" s="802"/>
      <c r="AM45" s="802"/>
      <c r="AN45" s="802"/>
      <c r="AO45" s="802"/>
      <c r="AP45" s="802"/>
      <c r="AQ45" s="802"/>
      <c r="AR45" s="802"/>
      <c r="AS45" s="802"/>
      <c r="AT45" s="802"/>
      <c r="AU45" s="802"/>
      <c r="AV45" s="802"/>
      <c r="AW45" s="802"/>
      <c r="AX45" s="802"/>
      <c r="AY45" s="802"/>
      <c r="AZ45" s="802"/>
      <c r="BA45" s="802"/>
      <c r="BB45" s="802"/>
      <c r="BC45" s="802"/>
      <c r="BD45" s="802"/>
      <c r="BE45" s="802"/>
      <c r="BF45" s="802"/>
      <c r="BG45" s="802"/>
      <c r="BH45" s="802"/>
      <c r="BI45" s="802"/>
    </row>
    <row r="46" spans="1:61" ht="21">
      <c r="A46" s="1173" t="s">
        <v>283</v>
      </c>
      <c r="B46" s="1173"/>
      <c r="C46" s="1173"/>
      <c r="D46" s="1173"/>
      <c r="E46" s="1173"/>
      <c r="F46" s="1173"/>
      <c r="G46" s="1173"/>
      <c r="H46" s="1173"/>
      <c r="I46" s="1173"/>
      <c r="J46" s="1173"/>
      <c r="K46" s="1173"/>
      <c r="L46" s="1173"/>
      <c r="M46" s="1173"/>
      <c r="N46" s="1173"/>
      <c r="O46" s="1173"/>
      <c r="P46" s="1173"/>
      <c r="Q46" s="1173"/>
      <c r="R46" s="1173"/>
      <c r="S46" s="1173"/>
      <c r="T46" s="1173"/>
      <c r="U46" s="1173"/>
      <c r="V46" s="1173"/>
      <c r="W46" s="706"/>
      <c r="X46" s="706"/>
      <c r="Y46" s="706"/>
      <c r="Z46" s="706"/>
      <c r="AA46" s="707"/>
      <c r="AB46" s="702"/>
      <c r="AC46" s="702"/>
      <c r="AD46" s="702"/>
      <c r="AE46" s="702"/>
      <c r="AF46" s="702"/>
      <c r="AG46" s="702"/>
      <c r="AH46" s="702"/>
      <c r="AI46" s="702"/>
      <c r="AK46" s="802"/>
      <c r="AL46" s="802"/>
      <c r="AM46" s="802"/>
      <c r="AN46" s="802"/>
      <c r="AO46" s="802"/>
      <c r="AP46" s="802"/>
      <c r="AQ46" s="802"/>
      <c r="AR46" s="802"/>
      <c r="AS46" s="802"/>
      <c r="AT46" s="802"/>
      <c r="AU46" s="802"/>
      <c r="AV46" s="802"/>
      <c r="AW46" s="802"/>
      <c r="AX46" s="802"/>
      <c r="AY46" s="802"/>
      <c r="AZ46" s="802"/>
      <c r="BA46" s="802"/>
      <c r="BB46" s="802"/>
      <c r="BC46" s="802"/>
      <c r="BD46" s="802"/>
      <c r="BE46" s="802"/>
      <c r="BF46" s="802"/>
      <c r="BG46" s="802"/>
      <c r="BH46" s="802"/>
      <c r="BI46" s="802"/>
    </row>
    <row r="47" spans="1:61" ht="15" thickBot="1">
      <c r="A47" s="704"/>
      <c r="B47" s="704"/>
      <c r="C47" s="706"/>
      <c r="D47" s="706"/>
      <c r="E47" s="706"/>
      <c r="F47" s="706"/>
      <c r="G47" s="706"/>
      <c r="H47" s="706"/>
      <c r="I47" s="706"/>
      <c r="J47" s="706"/>
      <c r="K47" s="706"/>
      <c r="L47" s="706"/>
      <c r="M47" s="706"/>
      <c r="N47" s="706"/>
      <c r="O47" s="706"/>
      <c r="P47" s="706"/>
      <c r="Q47" s="706"/>
      <c r="R47" s="706"/>
      <c r="S47" s="706"/>
      <c r="T47" s="706"/>
      <c r="U47" s="706"/>
      <c r="V47" s="706"/>
      <c r="W47" s="706"/>
      <c r="X47" s="706"/>
      <c r="Y47" s="706"/>
      <c r="Z47" s="706"/>
      <c r="AA47" s="707"/>
      <c r="AB47" s="702"/>
      <c r="AC47" s="702"/>
      <c r="AD47" s="702"/>
      <c r="AE47" s="702"/>
      <c r="AF47" s="702"/>
      <c r="AG47" s="702"/>
      <c r="AH47" s="702"/>
      <c r="AI47" s="702"/>
      <c r="AK47" s="802"/>
      <c r="AL47" s="802"/>
      <c r="AM47" s="802"/>
      <c r="AN47" s="802"/>
      <c r="AO47" s="802"/>
      <c r="AP47" s="802"/>
      <c r="AQ47" s="802"/>
      <c r="AR47" s="802"/>
      <c r="AS47" s="802"/>
      <c r="AT47" s="802"/>
      <c r="AU47" s="802"/>
      <c r="AV47" s="802"/>
      <c r="AW47" s="802"/>
      <c r="AX47" s="802"/>
      <c r="AY47" s="802"/>
      <c r="AZ47" s="802"/>
      <c r="BA47" s="802"/>
      <c r="BB47" s="802"/>
      <c r="BC47" s="802"/>
      <c r="BD47" s="802"/>
      <c r="BE47" s="802"/>
      <c r="BF47" s="802"/>
      <c r="BG47" s="802"/>
      <c r="BH47" s="802"/>
      <c r="BI47" s="802"/>
    </row>
    <row r="48" spans="1:61" ht="15.75" thickBot="1">
      <c r="A48" s="951">
        <v>1</v>
      </c>
      <c r="B48" s="952" t="s">
        <v>230</v>
      </c>
      <c r="C48" s="953"/>
      <c r="D48" s="697"/>
      <c r="E48" s="697"/>
      <c r="F48" s="697">
        <v>7256</v>
      </c>
      <c r="G48" s="697">
        <v>74409</v>
      </c>
      <c r="H48" s="697">
        <v>74288</v>
      </c>
      <c r="I48" s="697">
        <v>135950</v>
      </c>
      <c r="J48" s="697">
        <v>46558</v>
      </c>
      <c r="K48" s="697">
        <v>51488</v>
      </c>
      <c r="L48" s="697">
        <v>54640</v>
      </c>
      <c r="M48" s="697">
        <v>53411</v>
      </c>
      <c r="N48" s="697">
        <v>45167</v>
      </c>
      <c r="O48" s="697">
        <v>17330</v>
      </c>
      <c r="P48" s="804">
        <v>43427.714</v>
      </c>
      <c r="Q48" s="697">
        <v>39078</v>
      </c>
      <c r="R48" s="804">
        <v>45244</v>
      </c>
      <c r="S48" s="804">
        <v>33953</v>
      </c>
      <c r="T48" s="804">
        <f>85031+4896</f>
        <v>89927</v>
      </c>
      <c r="U48" s="804">
        <v>99487</v>
      </c>
      <c r="V48" s="804">
        <v>184722</v>
      </c>
      <c r="W48" s="804">
        <v>223376</v>
      </c>
      <c r="X48" s="804">
        <v>131275</v>
      </c>
      <c r="Y48" s="697">
        <f>149.881209301822*1000</f>
        <v>149881.209301822</v>
      </c>
      <c r="Z48" s="869">
        <v>149413.53189887735</v>
      </c>
      <c r="AA48" s="805">
        <f>SUM(C48:Z48)</f>
        <v>1750281.4552006994</v>
      </c>
      <c r="AB48" s="702"/>
      <c r="AC48" s="702"/>
      <c r="AD48" s="702"/>
      <c r="AE48" s="702"/>
      <c r="AF48" s="702"/>
      <c r="AG48" s="702"/>
      <c r="AH48" s="702"/>
      <c r="AI48" s="702"/>
      <c r="AK48" s="802"/>
      <c r="AL48" s="802"/>
      <c r="AM48" s="802"/>
      <c r="AN48" s="802"/>
      <c r="AO48" s="802"/>
      <c r="AP48" s="802"/>
      <c r="AQ48" s="802"/>
      <c r="AR48" s="802"/>
      <c r="AS48" s="802"/>
      <c r="AT48" s="802"/>
      <c r="AU48" s="802"/>
      <c r="AV48" s="802"/>
      <c r="AW48" s="802"/>
      <c r="AX48" s="802"/>
      <c r="AY48" s="802"/>
      <c r="AZ48" s="802"/>
      <c r="BA48" s="802"/>
      <c r="BB48" s="802"/>
      <c r="BC48" s="802"/>
      <c r="BD48" s="802"/>
      <c r="BE48" s="802"/>
      <c r="BF48" s="802"/>
      <c r="BG48" s="802"/>
      <c r="BH48" s="802"/>
      <c r="BI48" s="802"/>
    </row>
    <row r="49" spans="1:61" ht="15">
      <c r="A49" s="806"/>
      <c r="B49" s="807"/>
      <c r="C49" s="705"/>
      <c r="D49" s="705"/>
      <c r="E49" s="705"/>
      <c r="F49" s="705"/>
      <c r="G49" s="705"/>
      <c r="H49" s="705"/>
      <c r="I49" s="705"/>
      <c r="J49" s="705"/>
      <c r="K49" s="705"/>
      <c r="L49" s="705"/>
      <c r="M49" s="705"/>
      <c r="N49" s="705"/>
      <c r="O49" s="705"/>
      <c r="P49" s="705"/>
      <c r="Q49" s="705"/>
      <c r="R49" s="705"/>
      <c r="S49" s="705"/>
      <c r="T49" s="705"/>
      <c r="U49" s="705"/>
      <c r="V49" s="705"/>
      <c r="W49" s="705"/>
      <c r="X49" s="705"/>
      <c r="Y49" s="705"/>
      <c r="Z49" s="705"/>
      <c r="AA49" s="705"/>
      <c r="AB49" s="702"/>
      <c r="AC49" s="702"/>
      <c r="AD49" s="702"/>
      <c r="AE49" s="702"/>
      <c r="AF49" s="702"/>
      <c r="AG49" s="702"/>
      <c r="AH49" s="702"/>
      <c r="AI49" s="702"/>
      <c r="AK49" s="802"/>
      <c r="AL49" s="802"/>
      <c r="AM49" s="802"/>
      <c r="AN49" s="802"/>
      <c r="AO49" s="802"/>
      <c r="AP49" s="802"/>
      <c r="AQ49" s="802"/>
      <c r="AR49" s="802"/>
      <c r="AS49" s="802"/>
      <c r="AT49" s="802"/>
      <c r="AU49" s="802"/>
      <c r="AV49" s="802"/>
      <c r="AW49" s="802"/>
      <c r="AX49" s="802"/>
      <c r="AY49" s="802"/>
      <c r="AZ49" s="802"/>
      <c r="BA49" s="802"/>
      <c r="BB49" s="802"/>
      <c r="BC49" s="802"/>
      <c r="BD49" s="802"/>
      <c r="BE49" s="802"/>
      <c r="BF49" s="802"/>
      <c r="BG49" s="802"/>
      <c r="BH49" s="802"/>
      <c r="BI49" s="802"/>
    </row>
    <row r="50" spans="1:61" ht="21.75" customHeight="1" thickBot="1">
      <c r="A50" s="704"/>
      <c r="B50" s="704"/>
      <c r="C50" s="706"/>
      <c r="D50" s="706"/>
      <c r="E50" s="706"/>
      <c r="F50" s="706"/>
      <c r="G50" s="706"/>
      <c r="H50" s="706"/>
      <c r="I50" s="706"/>
      <c r="J50" s="706"/>
      <c r="K50" s="706"/>
      <c r="L50" s="706"/>
      <c r="M50" s="706"/>
      <c r="N50" s="706"/>
      <c r="O50" s="706"/>
      <c r="P50" s="706"/>
      <c r="Q50" s="706"/>
      <c r="R50" s="706"/>
      <c r="S50" s="706"/>
      <c r="T50" s="706"/>
      <c r="U50" s="706"/>
      <c r="V50" s="706"/>
      <c r="W50" s="706"/>
      <c r="X50" s="706"/>
      <c r="Y50" s="706"/>
      <c r="Z50" s="706"/>
      <c r="AA50" s="707"/>
      <c r="AB50" s="702"/>
      <c r="AC50" s="702"/>
      <c r="AD50" s="702"/>
      <c r="AE50" s="702"/>
      <c r="AF50" s="702"/>
      <c r="AG50" s="702"/>
      <c r="AH50" s="702"/>
      <c r="AI50" s="702"/>
      <c r="AK50" s="802"/>
      <c r="AL50" s="802"/>
      <c r="AM50" s="802"/>
      <c r="AN50" s="802"/>
      <c r="AO50" s="802"/>
      <c r="AP50" s="802"/>
      <c r="AQ50" s="802"/>
      <c r="AR50" s="802"/>
      <c r="AS50" s="802"/>
      <c r="AT50" s="802"/>
      <c r="AU50" s="802"/>
      <c r="AV50" s="802"/>
      <c r="AW50" s="802"/>
      <c r="AX50" s="802"/>
      <c r="AY50" s="802"/>
      <c r="AZ50" s="802"/>
      <c r="BA50" s="802"/>
      <c r="BB50" s="802"/>
      <c r="BC50" s="802"/>
      <c r="BD50" s="802"/>
      <c r="BE50" s="802"/>
      <c r="BF50" s="802"/>
      <c r="BG50" s="802"/>
      <c r="BH50" s="802"/>
      <c r="BI50" s="802"/>
    </row>
    <row r="51" spans="1:35" ht="25.5" customHeight="1" thickBot="1">
      <c r="A51" s="1174" t="s">
        <v>33</v>
      </c>
      <c r="B51" s="1175"/>
      <c r="C51" s="808">
        <f aca="true" t="shared" si="7" ref="C51:T51">C17+C25+C42+C48</f>
        <v>136599</v>
      </c>
      <c r="D51" s="808">
        <f t="shared" si="7"/>
        <v>114859</v>
      </c>
      <c r="E51" s="808">
        <f t="shared" si="7"/>
        <v>163753</v>
      </c>
      <c r="F51" s="808">
        <f t="shared" si="7"/>
        <v>174408</v>
      </c>
      <c r="G51" s="808">
        <f t="shared" si="7"/>
        <v>153798.708</v>
      </c>
      <c r="H51" s="808">
        <f t="shared" si="7"/>
        <v>229000.999</v>
      </c>
      <c r="I51" s="808">
        <f t="shared" si="7"/>
        <v>312926.207</v>
      </c>
      <c r="J51" s="808">
        <f t="shared" si="7"/>
        <v>254447.96600000001</v>
      </c>
      <c r="K51" s="808">
        <f t="shared" si="7"/>
        <v>254279.34300000002</v>
      </c>
      <c r="L51" s="808">
        <f t="shared" si="7"/>
        <v>256364.5590118343</v>
      </c>
      <c r="M51" s="808">
        <f t="shared" si="7"/>
        <v>219400</v>
      </c>
      <c r="N51" s="808">
        <f t="shared" si="7"/>
        <v>140225.68</v>
      </c>
      <c r="O51" s="808">
        <f t="shared" si="7"/>
        <v>127185</v>
      </c>
      <c r="P51" s="808">
        <f t="shared" si="7"/>
        <v>154259.75400000002</v>
      </c>
      <c r="Q51" s="808">
        <f t="shared" si="7"/>
        <v>155193.43</v>
      </c>
      <c r="R51" s="808">
        <f t="shared" si="7"/>
        <v>162650.03</v>
      </c>
      <c r="S51" s="808">
        <f t="shared" si="7"/>
        <v>129694.5</v>
      </c>
      <c r="T51" s="808">
        <f t="shared" si="7"/>
        <v>229642.19999999998</v>
      </c>
      <c r="U51" s="808">
        <f aca="true" t="shared" si="8" ref="U51:AA51">U17+U25+U42+U48</f>
        <v>228369</v>
      </c>
      <c r="V51" s="808">
        <f t="shared" si="8"/>
        <v>434703</v>
      </c>
      <c r="W51" s="808">
        <f t="shared" si="8"/>
        <v>388987</v>
      </c>
      <c r="X51" s="809">
        <f t="shared" si="8"/>
        <v>238248.7</v>
      </c>
      <c r="Y51" s="809">
        <f t="shared" si="8"/>
        <v>271504.209301822</v>
      </c>
      <c r="Z51" s="809">
        <f t="shared" si="8"/>
        <v>339526.4318988774</v>
      </c>
      <c r="AA51" s="809">
        <f t="shared" si="8"/>
        <v>5270025.717212534</v>
      </c>
      <c r="AB51" s="701"/>
      <c r="AC51" s="701"/>
      <c r="AD51" s="810"/>
      <c r="AE51" s="811"/>
      <c r="AF51" s="811"/>
      <c r="AG51" s="810"/>
      <c r="AH51" s="701"/>
      <c r="AI51" s="701"/>
    </row>
    <row r="52" spans="1:61" ht="12.75">
      <c r="A52" s="703"/>
      <c r="B52" s="812"/>
      <c r="C52" s="702"/>
      <c r="D52" s="702"/>
      <c r="E52" s="702"/>
      <c r="F52" s="702"/>
      <c r="G52" s="702"/>
      <c r="H52" s="702"/>
      <c r="I52" s="702"/>
      <c r="J52" s="702"/>
      <c r="K52" s="702"/>
      <c r="L52" s="702"/>
      <c r="M52" s="702"/>
      <c r="N52" s="702"/>
      <c r="O52" s="702"/>
      <c r="P52" s="702"/>
      <c r="Q52" s="702"/>
      <c r="R52" s="702"/>
      <c r="S52" s="702"/>
      <c r="T52" s="702"/>
      <c r="U52" s="702"/>
      <c r="V52" s="702"/>
      <c r="W52" s="702"/>
      <c r="X52" s="702"/>
      <c r="Y52" s="702"/>
      <c r="Z52" s="702"/>
      <c r="AA52" s="702"/>
      <c r="AB52" s="702"/>
      <c r="AC52" s="702"/>
      <c r="AD52" s="813"/>
      <c r="AE52" s="810"/>
      <c r="AF52" s="810"/>
      <c r="AG52" s="813"/>
      <c r="AH52" s="702"/>
      <c r="AI52" s="702"/>
      <c r="AK52" s="802"/>
      <c r="AL52" s="802"/>
      <c r="AM52" s="802"/>
      <c r="AN52" s="802"/>
      <c r="AO52" s="802"/>
      <c r="AP52" s="802"/>
      <c r="AQ52" s="802"/>
      <c r="AR52" s="802"/>
      <c r="AS52" s="802"/>
      <c r="AT52" s="802"/>
      <c r="AU52" s="802"/>
      <c r="AV52" s="802"/>
      <c r="AW52" s="802"/>
      <c r="AX52" s="802"/>
      <c r="AY52" s="802"/>
      <c r="AZ52" s="802"/>
      <c r="BA52" s="802"/>
      <c r="BB52" s="802"/>
      <c r="BC52" s="802"/>
      <c r="BD52" s="802"/>
      <c r="BE52" s="802"/>
      <c r="BF52" s="802"/>
      <c r="BG52" s="802"/>
      <c r="BH52" s="802"/>
      <c r="BI52" s="802"/>
    </row>
    <row r="53" spans="1:61" ht="13.5">
      <c r="A53" s="814" t="s">
        <v>231</v>
      </c>
      <c r="B53" s="812"/>
      <c r="C53" s="702"/>
      <c r="D53" s="702"/>
      <c r="E53" s="702"/>
      <c r="F53" s="702"/>
      <c r="G53" s="702"/>
      <c r="H53" s="702"/>
      <c r="I53" s="702"/>
      <c r="J53" s="702"/>
      <c r="K53" s="702"/>
      <c r="L53" s="702"/>
      <c r="M53" s="702"/>
      <c r="N53" s="702"/>
      <c r="O53" s="702"/>
      <c r="P53" s="702"/>
      <c r="Q53" s="702"/>
      <c r="R53" s="702"/>
      <c r="S53" s="702"/>
      <c r="T53" s="702"/>
      <c r="U53" s="702"/>
      <c r="V53" s="702"/>
      <c r="W53" s="702"/>
      <c r="X53" s="702"/>
      <c r="Y53" s="702"/>
      <c r="Z53" s="702"/>
      <c r="AA53" s="702"/>
      <c r="AB53" s="702"/>
      <c r="AC53" s="702"/>
      <c r="AD53" s="813"/>
      <c r="AE53" s="810"/>
      <c r="AF53" s="810"/>
      <c r="AG53" s="813"/>
      <c r="AH53" s="702"/>
      <c r="AI53" s="702"/>
      <c r="AK53" s="802"/>
      <c r="AL53" s="802"/>
      <c r="AM53" s="802"/>
      <c r="AN53" s="802"/>
      <c r="AO53" s="802"/>
      <c r="AP53" s="802"/>
      <c r="AQ53" s="802"/>
      <c r="AR53" s="802"/>
      <c r="AS53" s="802"/>
      <c r="AT53" s="802"/>
      <c r="AU53" s="802"/>
      <c r="AV53" s="802"/>
      <c r="AW53" s="802"/>
      <c r="AX53" s="802"/>
      <c r="AY53" s="802"/>
      <c r="AZ53" s="802"/>
      <c r="BA53" s="802"/>
      <c r="BB53" s="802"/>
      <c r="BC53" s="802"/>
      <c r="BD53" s="802"/>
      <c r="BE53" s="802"/>
      <c r="BF53" s="802"/>
      <c r="BG53" s="802"/>
      <c r="BH53" s="802"/>
      <c r="BI53" s="802"/>
    </row>
    <row r="54" spans="30:33" ht="12.75">
      <c r="AD54" s="811"/>
      <c r="AE54" s="815"/>
      <c r="AF54" s="815"/>
      <c r="AG54" s="811"/>
    </row>
    <row r="55" spans="2:35" ht="12.75">
      <c r="B55" s="816"/>
      <c r="D55" s="701"/>
      <c r="E55" s="701"/>
      <c r="F55" s="701"/>
      <c r="G55" s="701"/>
      <c r="H55" s="701"/>
      <c r="I55" s="701"/>
      <c r="J55" s="701"/>
      <c r="K55" s="701"/>
      <c r="L55" s="701"/>
      <c r="M55" s="701"/>
      <c r="N55" s="701"/>
      <c r="O55" s="701"/>
      <c r="P55" s="701"/>
      <c r="Q55" s="701"/>
      <c r="R55" s="701"/>
      <c r="S55" s="701"/>
      <c r="T55" s="701"/>
      <c r="U55" s="701"/>
      <c r="V55" s="701"/>
      <c r="AA55" s="701"/>
      <c r="AB55" s="701"/>
      <c r="AC55" s="701"/>
      <c r="AD55" s="813"/>
      <c r="AE55" s="811"/>
      <c r="AF55" s="811"/>
      <c r="AG55" s="810"/>
      <c r="AH55" s="701"/>
      <c r="AI55" s="701"/>
    </row>
    <row r="56" spans="2:35" ht="12.75">
      <c r="B56" s="701"/>
      <c r="C56" s="701"/>
      <c r="D56" s="701"/>
      <c r="E56" s="701"/>
      <c r="F56" s="701"/>
      <c r="G56" s="701"/>
      <c r="H56" s="701"/>
      <c r="I56" s="701"/>
      <c r="J56" s="701"/>
      <c r="K56" s="701"/>
      <c r="L56" s="701"/>
      <c r="M56" s="701"/>
      <c r="N56" s="701"/>
      <c r="O56" s="701"/>
      <c r="P56" s="701"/>
      <c r="Q56" s="701"/>
      <c r="R56" s="701"/>
      <c r="S56" s="701"/>
      <c r="T56" s="701"/>
      <c r="U56" s="701"/>
      <c r="V56" s="701"/>
      <c r="AB56" s="702"/>
      <c r="AC56" s="702"/>
      <c r="AD56" s="813"/>
      <c r="AE56" s="811"/>
      <c r="AF56" s="811"/>
      <c r="AG56" s="817"/>
      <c r="AH56" s="703"/>
      <c r="AI56" s="703"/>
    </row>
    <row r="57" spans="3:35" ht="12.75">
      <c r="C57" s="748"/>
      <c r="D57" s="749"/>
      <c r="E57" s="749"/>
      <c r="F57" s="749"/>
      <c r="G57" s="749"/>
      <c r="V57" s="802"/>
      <c r="AA57" s="703"/>
      <c r="AB57" s="703"/>
      <c r="AC57" s="703"/>
      <c r="AD57" s="817"/>
      <c r="AE57" s="811"/>
      <c r="AF57" s="811"/>
      <c r="AG57" s="817"/>
      <c r="AH57" s="703"/>
      <c r="AI57" s="703"/>
    </row>
    <row r="58" spans="3:35" ht="12.75">
      <c r="C58" s="748"/>
      <c r="F58" s="749"/>
      <c r="G58" s="749"/>
      <c r="H58" s="748"/>
      <c r="AA58" s="703"/>
      <c r="AB58" s="703"/>
      <c r="AC58" s="703"/>
      <c r="AD58" s="817"/>
      <c r="AE58" s="817"/>
      <c r="AF58" s="817"/>
      <c r="AG58" s="817"/>
      <c r="AH58" s="703"/>
      <c r="AI58" s="703"/>
    </row>
    <row r="59" spans="3:35" ht="12.75">
      <c r="C59" s="748"/>
      <c r="AA59" s="703"/>
      <c r="AB59" s="703"/>
      <c r="AC59" s="703"/>
      <c r="AD59" s="703"/>
      <c r="AE59" s="703"/>
      <c r="AF59" s="703"/>
      <c r="AG59" s="703"/>
      <c r="AH59" s="703"/>
      <c r="AI59" s="703"/>
    </row>
  </sheetData>
  <sheetProtection/>
  <mergeCells count="6">
    <mergeCell ref="A6:AA6"/>
    <mergeCell ref="A17:B17"/>
    <mergeCell ref="A25:B25"/>
    <mergeCell ref="A42:B42"/>
    <mergeCell ref="A46:V46"/>
    <mergeCell ref="A51:B51"/>
  </mergeCells>
  <printOptions horizontalCentered="1"/>
  <pageMargins left="0.7874015748031497" right="0.3937007874015748" top="0.7874015748031497" bottom="0.5905511811023623" header="0" footer="0"/>
  <pageSetup fitToHeight="1" fitToWidth="1" horizontalDpi="600" verticalDpi="600" orientation="landscape" paperSize="9" scale="3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6:BD64"/>
  <sheetViews>
    <sheetView showGridLines="0" view="pageBreakPreview" zoomScale="70" zoomScaleNormal="70" zoomScaleSheetLayoutView="70" zoomScalePageLayoutView="0" workbookViewId="0" topLeftCell="A1">
      <selection activeCell="C23" sqref="C23"/>
    </sheetView>
  </sheetViews>
  <sheetFormatPr defaultColWidth="11.421875" defaultRowHeight="12.75"/>
  <cols>
    <col min="1" max="1" width="3.140625" style="670" customWidth="1"/>
    <col min="2" max="2" width="16.8515625" style="670" customWidth="1"/>
    <col min="3" max="3" width="10.00390625" style="670" customWidth="1"/>
    <col min="4" max="8" width="6.57421875" style="670" customWidth="1"/>
    <col min="9" max="27" width="10.7109375" style="670" customWidth="1"/>
    <col min="28" max="28" width="8.140625" style="655" customWidth="1"/>
    <col min="29" max="29" width="11.00390625" style="818" customWidth="1"/>
    <col min="30" max="31" width="5.7109375" style="818" customWidth="1"/>
    <col min="32" max="54" width="11.421875" style="819" customWidth="1"/>
    <col min="55" max="16384" width="11.421875" style="670" customWidth="1"/>
  </cols>
  <sheetData>
    <row r="6" spans="2:31" ht="20.25">
      <c r="B6" s="1176" t="s">
        <v>297</v>
      </c>
      <c r="C6" s="1176"/>
      <c r="D6" s="1176"/>
      <c r="E6" s="1176"/>
      <c r="F6" s="1176"/>
      <c r="G6" s="1176"/>
      <c r="H6" s="1176"/>
      <c r="I6" s="1176"/>
      <c r="J6" s="1176"/>
      <c r="K6" s="1176"/>
      <c r="L6" s="1176"/>
      <c r="M6" s="1176"/>
      <c r="N6" s="1176"/>
      <c r="O6" s="1176"/>
      <c r="P6" s="1176"/>
      <c r="Q6" s="1176"/>
      <c r="R6" s="1176"/>
      <c r="S6" s="1176"/>
      <c r="T6" s="1176"/>
      <c r="U6" s="1176"/>
      <c r="V6" s="1176"/>
      <c r="W6" s="1176"/>
      <c r="X6" s="1176"/>
      <c r="Y6" s="1176"/>
      <c r="Z6" s="1176"/>
      <c r="AA6" s="1176"/>
      <c r="AB6" s="822"/>
      <c r="AC6" s="823"/>
      <c r="AD6" s="823"/>
      <c r="AE6" s="823"/>
    </row>
    <row r="7" spans="2:31" ht="15.75">
      <c r="B7" s="821"/>
      <c r="C7" s="821"/>
      <c r="D7" s="821"/>
      <c r="E7" s="821"/>
      <c r="F7" s="821"/>
      <c r="G7" s="821"/>
      <c r="H7" s="821"/>
      <c r="I7" s="821"/>
      <c r="J7" s="821"/>
      <c r="K7" s="821"/>
      <c r="L7" s="821"/>
      <c r="M7" s="821"/>
      <c r="N7" s="821"/>
      <c r="O7" s="821"/>
      <c r="P7" s="821"/>
      <c r="Q7" s="821"/>
      <c r="R7" s="821"/>
      <c r="S7" s="821"/>
      <c r="T7" s="821"/>
      <c r="U7" s="821"/>
      <c r="V7" s="821"/>
      <c r="W7" s="821"/>
      <c r="X7" s="821"/>
      <c r="Y7" s="821"/>
      <c r="Z7" s="821"/>
      <c r="AA7" s="821"/>
      <c r="AB7" s="822"/>
      <c r="AC7" s="823"/>
      <c r="AD7" s="823"/>
      <c r="AE7" s="823"/>
    </row>
    <row r="8" spans="2:31" ht="15.75">
      <c r="B8" s="821"/>
      <c r="C8" s="821"/>
      <c r="D8" s="821"/>
      <c r="E8" s="821"/>
      <c r="F8" s="821"/>
      <c r="G8" s="821"/>
      <c r="H8" s="821"/>
      <c r="I8" s="821"/>
      <c r="J8" s="821"/>
      <c r="K8" s="821"/>
      <c r="L8" s="821"/>
      <c r="M8" s="821"/>
      <c r="N8" s="821"/>
      <c r="O8" s="821"/>
      <c r="P8" s="821"/>
      <c r="Q8" s="821"/>
      <c r="R8" s="821"/>
      <c r="S8" s="821"/>
      <c r="T8" s="821"/>
      <c r="U8" s="821"/>
      <c r="V8" s="821"/>
      <c r="W8" s="821"/>
      <c r="X8" s="821"/>
      <c r="Y8" s="821"/>
      <c r="Z8" s="821"/>
      <c r="AA8" s="821"/>
      <c r="AB8" s="822"/>
      <c r="AC8" s="823"/>
      <c r="AD8" s="823"/>
      <c r="AE8" s="823"/>
    </row>
    <row r="9" spans="2:34" ht="12.75">
      <c r="B9" s="1177" t="s">
        <v>234</v>
      </c>
      <c r="C9" s="954">
        <v>1990</v>
      </c>
      <c r="D9" s="954">
        <v>1991</v>
      </c>
      <c r="E9" s="954">
        <v>1992</v>
      </c>
      <c r="F9" s="954">
        <v>1993</v>
      </c>
      <c r="G9" s="954">
        <v>1994</v>
      </c>
      <c r="H9" s="954">
        <v>1995</v>
      </c>
      <c r="I9" s="954">
        <v>1996</v>
      </c>
      <c r="J9" s="954">
        <v>1997</v>
      </c>
      <c r="K9" s="954">
        <v>1998</v>
      </c>
      <c r="L9" s="954">
        <v>1999</v>
      </c>
      <c r="M9" s="954">
        <v>2000</v>
      </c>
      <c r="N9" s="954">
        <v>2001</v>
      </c>
      <c r="O9" s="954">
        <v>2002</v>
      </c>
      <c r="P9" s="954">
        <v>2003</v>
      </c>
      <c r="Q9" s="954">
        <v>2004</v>
      </c>
      <c r="R9" s="954">
        <v>2005</v>
      </c>
      <c r="S9" s="954">
        <v>2006</v>
      </c>
      <c r="T9" s="954">
        <v>2007</v>
      </c>
      <c r="U9" s="954">
        <v>2008</v>
      </c>
      <c r="V9" s="954">
        <v>2009</v>
      </c>
      <c r="W9" s="954">
        <v>2010</v>
      </c>
      <c r="X9" s="954">
        <v>2011</v>
      </c>
      <c r="Y9" s="954">
        <v>2012</v>
      </c>
      <c r="Z9" s="954">
        <v>2013</v>
      </c>
      <c r="AA9" s="955" t="s">
        <v>0</v>
      </c>
      <c r="AB9" s="825"/>
      <c r="AC9" s="826"/>
      <c r="AD9" s="826"/>
      <c r="AE9" s="826"/>
      <c r="AH9" s="827"/>
    </row>
    <row r="10" spans="2:34" ht="12.75">
      <c r="B10" s="1178"/>
      <c r="C10" s="852">
        <f>C17+C18+C19</f>
        <v>136.599</v>
      </c>
      <c r="D10" s="852">
        <f aca="true" t="shared" si="0" ref="D10:Z10">D17+D18+D19</f>
        <v>114.859</v>
      </c>
      <c r="E10" s="852">
        <f t="shared" si="0"/>
        <v>163.753</v>
      </c>
      <c r="F10" s="852">
        <f t="shared" si="0"/>
        <v>174.408</v>
      </c>
      <c r="G10" s="852">
        <f t="shared" si="0"/>
        <v>214.152598</v>
      </c>
      <c r="H10" s="852">
        <f t="shared" si="0"/>
        <v>295.15262900000005</v>
      </c>
      <c r="I10" s="852">
        <f t="shared" si="0"/>
        <v>508.703377</v>
      </c>
      <c r="J10" s="852">
        <f t="shared" si="0"/>
        <v>593.516881</v>
      </c>
      <c r="K10" s="852">
        <f t="shared" si="0"/>
        <v>612.5214309999999</v>
      </c>
      <c r="L10" s="852">
        <f t="shared" si="0"/>
        <v>763.7302280118342</v>
      </c>
      <c r="M10" s="852">
        <f t="shared" si="0"/>
        <v>652.989</v>
      </c>
      <c r="N10" s="852">
        <f t="shared" si="0"/>
        <v>336.39697</v>
      </c>
      <c r="O10" s="852">
        <f t="shared" si="0"/>
        <v>247.20600000000002</v>
      </c>
      <c r="P10" s="852">
        <f t="shared" si="0"/>
        <v>226.411864</v>
      </c>
      <c r="Q10" s="852">
        <f t="shared" si="0"/>
        <v>320.25719000000004</v>
      </c>
      <c r="R10" s="852">
        <f t="shared" si="0"/>
        <v>392.53301</v>
      </c>
      <c r="S10" s="852">
        <f t="shared" si="0"/>
        <v>469.89295000000004</v>
      </c>
      <c r="T10" s="852">
        <f t="shared" si="0"/>
        <v>618.1507700000001</v>
      </c>
      <c r="U10" s="852">
        <f t="shared" si="0"/>
        <v>847.5749999999999</v>
      </c>
      <c r="V10" s="852">
        <f t="shared" si="0"/>
        <v>1154.282</v>
      </c>
      <c r="W10" s="852">
        <f t="shared" si="0"/>
        <v>1367.7389999999998</v>
      </c>
      <c r="X10" s="852">
        <f t="shared" si="0"/>
        <v>1879.9996652000002</v>
      </c>
      <c r="Y10" s="852">
        <f t="shared" si="0"/>
        <v>2738.9250697518223</v>
      </c>
      <c r="Z10" s="852">
        <f t="shared" si="0"/>
        <v>2505.6089318988775</v>
      </c>
      <c r="AA10" s="828">
        <f>SUM(C10:Y10)</f>
        <v>14829.754632963657</v>
      </c>
      <c r="AB10" s="679"/>
      <c r="AC10" s="829"/>
      <c r="AD10" s="829"/>
      <c r="AE10" s="829"/>
      <c r="AH10" s="827"/>
    </row>
    <row r="11" spans="2:37" ht="12.75">
      <c r="B11" s="670" t="s">
        <v>235</v>
      </c>
      <c r="AJ11" s="1179"/>
      <c r="AK11" s="1179"/>
    </row>
    <row r="12" spans="36:37" ht="12.75">
      <c r="AJ12" s="830"/>
      <c r="AK12" s="830"/>
    </row>
    <row r="13" spans="36:37" ht="12.75">
      <c r="AJ13" s="830"/>
      <c r="AK13" s="830"/>
    </row>
    <row r="14" spans="2:37" ht="18">
      <c r="B14" s="1054" t="s">
        <v>306</v>
      </c>
      <c r="AG14" s="819">
        <v>1000</v>
      </c>
      <c r="AJ14" s="830"/>
      <c r="AK14" s="830"/>
    </row>
    <row r="15" spans="33:37" ht="12.75">
      <c r="AG15" s="831"/>
      <c r="AH15" s="831"/>
      <c r="AI15" s="831"/>
      <c r="AJ15" s="830"/>
      <c r="AK15" s="830"/>
    </row>
    <row r="16" spans="2:56" ht="12.75">
      <c r="B16" s="956" t="s">
        <v>236</v>
      </c>
      <c r="C16" s="956">
        <v>1990</v>
      </c>
      <c r="D16" s="956">
        <v>1991</v>
      </c>
      <c r="E16" s="956">
        <v>1992</v>
      </c>
      <c r="F16" s="956">
        <v>1993</v>
      </c>
      <c r="G16" s="956">
        <v>1994</v>
      </c>
      <c r="H16" s="956">
        <v>1995</v>
      </c>
      <c r="I16" s="956">
        <v>1996</v>
      </c>
      <c r="J16" s="956">
        <v>1997</v>
      </c>
      <c r="K16" s="956">
        <v>1998</v>
      </c>
      <c r="L16" s="956">
        <v>1999</v>
      </c>
      <c r="M16" s="956">
        <v>2000</v>
      </c>
      <c r="N16" s="956">
        <v>2001</v>
      </c>
      <c r="O16" s="956">
        <v>2002</v>
      </c>
      <c r="P16" s="956">
        <v>2003</v>
      </c>
      <c r="Q16" s="956">
        <v>2004</v>
      </c>
      <c r="R16" s="956">
        <v>2005</v>
      </c>
      <c r="S16" s="956">
        <v>2006</v>
      </c>
      <c r="T16" s="956">
        <v>2007</v>
      </c>
      <c r="U16" s="956">
        <v>2008</v>
      </c>
      <c r="V16" s="956">
        <v>2009</v>
      </c>
      <c r="W16" s="956">
        <v>2010</v>
      </c>
      <c r="X16" s="956">
        <v>2011</v>
      </c>
      <c r="Y16" s="956">
        <v>2012</v>
      </c>
      <c r="Z16" s="956">
        <v>2013</v>
      </c>
      <c r="AA16" s="957" t="s">
        <v>0</v>
      </c>
      <c r="AB16" s="825"/>
      <c r="AC16" s="826"/>
      <c r="AD16" s="826"/>
      <c r="AE16" s="826"/>
      <c r="AG16" s="820">
        <f aca="true" t="shared" si="1" ref="AG16:BD16">C16</f>
        <v>1990</v>
      </c>
      <c r="AH16" s="820">
        <f t="shared" si="1"/>
        <v>1991</v>
      </c>
      <c r="AI16" s="820">
        <f t="shared" si="1"/>
        <v>1992</v>
      </c>
      <c r="AJ16" s="820">
        <f t="shared" si="1"/>
        <v>1993</v>
      </c>
      <c r="AK16" s="820">
        <f t="shared" si="1"/>
        <v>1994</v>
      </c>
      <c r="AL16" s="820">
        <f t="shared" si="1"/>
        <v>1995</v>
      </c>
      <c r="AM16" s="820">
        <f t="shared" si="1"/>
        <v>1996</v>
      </c>
      <c r="AN16" s="820">
        <f t="shared" si="1"/>
        <v>1997</v>
      </c>
      <c r="AO16" s="820">
        <f t="shared" si="1"/>
        <v>1998</v>
      </c>
      <c r="AP16" s="820">
        <f t="shared" si="1"/>
        <v>1999</v>
      </c>
      <c r="AQ16" s="820">
        <f t="shared" si="1"/>
        <v>2000</v>
      </c>
      <c r="AR16" s="820">
        <f t="shared" si="1"/>
        <v>2001</v>
      </c>
      <c r="AS16" s="820">
        <f t="shared" si="1"/>
        <v>2002</v>
      </c>
      <c r="AT16" s="820">
        <f t="shared" si="1"/>
        <v>2003</v>
      </c>
      <c r="AU16" s="820">
        <f t="shared" si="1"/>
        <v>2004</v>
      </c>
      <c r="AV16" s="820">
        <f t="shared" si="1"/>
        <v>2005</v>
      </c>
      <c r="AW16" s="820">
        <f t="shared" si="1"/>
        <v>2006</v>
      </c>
      <c r="AX16" s="820">
        <f t="shared" si="1"/>
        <v>2007</v>
      </c>
      <c r="AY16" s="820">
        <f t="shared" si="1"/>
        <v>2008</v>
      </c>
      <c r="AZ16" s="820">
        <f t="shared" si="1"/>
        <v>2009</v>
      </c>
      <c r="BA16" s="820">
        <f t="shared" si="1"/>
        <v>2010</v>
      </c>
      <c r="BB16" s="820">
        <f t="shared" si="1"/>
        <v>2011</v>
      </c>
      <c r="BC16" s="820">
        <f t="shared" si="1"/>
        <v>2012</v>
      </c>
      <c r="BD16" s="820">
        <f t="shared" si="1"/>
        <v>2013</v>
      </c>
    </row>
    <row r="17" spans="2:56" ht="12.75">
      <c r="B17" s="832" t="s">
        <v>237</v>
      </c>
      <c r="C17" s="853">
        <f>('10.17.2 y 3 Publica y Gub.'!C17+'10.17.2 y 3 Publica y Gub.'!C25+'10.17.2 y 3 Publica y Gub.'!C42)/1000</f>
        <v>136.599</v>
      </c>
      <c r="D17" s="853">
        <f>('10.17.2 y 3 Publica y Gub.'!D17+'10.17.2 y 3 Publica y Gub.'!D25+'10.17.2 y 3 Publica y Gub.'!D42)/1000</f>
        <v>114.859</v>
      </c>
      <c r="E17" s="853">
        <f>('10.17.2 y 3 Publica y Gub.'!E17+'10.17.2 y 3 Publica y Gub.'!E25+'10.17.2 y 3 Publica y Gub.'!E42)/1000</f>
        <v>163.753</v>
      </c>
      <c r="F17" s="853">
        <f>('10.17.2 y 3 Publica y Gub.'!F17+'10.17.2 y 3 Publica y Gub.'!F25+'10.17.2 y 3 Publica y Gub.'!F42)/1000</f>
        <v>167.152</v>
      </c>
      <c r="G17" s="853">
        <f>('10.17.2 y 3 Publica y Gub.'!G17+'10.17.2 y 3 Publica y Gub.'!G25+'10.17.2 y 3 Publica y Gub.'!G42)/1000</f>
        <v>79.38970800000001</v>
      </c>
      <c r="H17" s="853">
        <f>('10.17.2 y 3 Publica y Gub.'!H17+'10.17.2 y 3 Publica y Gub.'!H25+'10.17.2 y 3 Publica y Gub.'!H42)/1000</f>
        <v>154.71299900000002</v>
      </c>
      <c r="I17" s="853">
        <f>('10.17.2 y 3 Publica y Gub.'!I17+'10.17.2 y 3 Publica y Gub.'!I25+'10.17.2 y 3 Publica y Gub.'!I42)/1000</f>
        <v>176.976207</v>
      </c>
      <c r="J17" s="853">
        <f>('10.17.2 y 3 Publica y Gub.'!J17+'10.17.2 y 3 Publica y Gub.'!J25+'10.17.2 y 3 Publica y Gub.'!J42)/1000</f>
        <v>207.88996600000002</v>
      </c>
      <c r="K17" s="853">
        <f>('10.17.2 y 3 Publica y Gub.'!K17+'10.17.2 y 3 Publica y Gub.'!K25+'10.17.2 y 3 Publica y Gub.'!K42)/1000</f>
        <v>202.791343</v>
      </c>
      <c r="L17" s="853">
        <f>('10.17.2 y 3 Publica y Gub.'!L17+'10.17.2 y 3 Publica y Gub.'!L25+'10.17.2 y 3 Publica y Gub.'!L42)/1000</f>
        <v>201.7245590118343</v>
      </c>
      <c r="M17" s="853">
        <f>('10.17.2 y 3 Publica y Gub.'!M17+'10.17.2 y 3 Publica y Gub.'!M25+'10.17.2 y 3 Publica y Gub.'!M42)/1000</f>
        <v>165.989</v>
      </c>
      <c r="N17" s="853">
        <f>('10.17.2 y 3 Publica y Gub.'!N17+'10.17.2 y 3 Publica y Gub.'!N25+'10.17.2 y 3 Publica y Gub.'!N42)/1000</f>
        <v>95.05868</v>
      </c>
      <c r="O17" s="853">
        <f>('10.17.2 y 3 Publica y Gub.'!O17+'10.17.2 y 3 Publica y Gub.'!O25+'10.17.2 y 3 Publica y Gub.'!O42)/1000</f>
        <v>109.855</v>
      </c>
      <c r="P17" s="853">
        <f>('10.17.2 y 3 Publica y Gub.'!P17+'10.17.2 y 3 Publica y Gub.'!P25+'10.17.2 y 3 Publica y Gub.'!P42)/1000</f>
        <v>110.83204</v>
      </c>
      <c r="Q17" s="853">
        <f>('10.17.2 y 3 Publica y Gub.'!Q17+'10.17.2 y 3 Publica y Gub.'!Q25+'10.17.2 y 3 Publica y Gub.'!Q42)/1000</f>
        <v>116.11542999999999</v>
      </c>
      <c r="R17" s="853">
        <f>('10.17.2 y 3 Publica y Gub.'!R17+'10.17.2 y 3 Publica y Gub.'!R25+'10.17.2 y 3 Publica y Gub.'!R42)/1000</f>
        <v>117.40603</v>
      </c>
      <c r="S17" s="853">
        <f>('10.17.2 y 3 Publica y Gub.'!S17+'10.17.2 y 3 Publica y Gub.'!S25+'10.17.2 y 3 Publica y Gub.'!S42)/1000</f>
        <v>95.7415</v>
      </c>
      <c r="T17" s="853">
        <f>('10.17.2 y 3 Publica y Gub.'!T17+'10.17.2 y 3 Publica y Gub.'!T25+'10.17.2 y 3 Publica y Gub.'!T42)/1000</f>
        <v>139.71519999999998</v>
      </c>
      <c r="U17" s="853">
        <f>('10.17.2 y 3 Publica y Gub.'!U17+'10.17.2 y 3 Publica y Gub.'!U25+'10.17.2 y 3 Publica y Gub.'!U42)/1000</f>
        <v>128.882</v>
      </c>
      <c r="V17" s="853">
        <f>('10.17.2 y 3 Publica y Gub.'!V17+'10.17.2 y 3 Publica y Gub.'!V25+'10.17.2 y 3 Publica y Gub.'!V42)/1000</f>
        <v>249.981</v>
      </c>
      <c r="W17" s="853">
        <f>('10.17.2 y 3 Publica y Gub.'!W17+'10.17.2 y 3 Publica y Gub.'!W25+'10.17.2 y 3 Publica y Gub.'!W42)/1000</f>
        <v>165.611</v>
      </c>
      <c r="X17" s="853">
        <f>('10.17.2 y 3 Publica y Gub.'!X17+'10.17.2 y 3 Publica y Gub.'!X25+'10.17.2 y 3 Publica y Gub.'!X42)/1000</f>
        <v>106.9737</v>
      </c>
      <c r="Y17" s="853">
        <f>('10.17.2 y 3 Publica y Gub.'!Y17+'10.17.2 y 3 Publica y Gub.'!Y25+'10.17.2 y 3 Publica y Gub.'!Y42)/1000</f>
        <v>121.623</v>
      </c>
      <c r="Z17" s="853">
        <f>('10.17.2 y 3 Publica y Gub.'!Z17+'10.17.2 y 3 Publica y Gub.'!Z25+'10.17.2 y 3 Publica y Gub.'!Z42)/1000</f>
        <v>190.11290000000002</v>
      </c>
      <c r="AA17" s="833">
        <f>SUM(C17:Y17)</f>
        <v>3329.6313620118344</v>
      </c>
      <c r="AC17" s="834">
        <f>+AA17/AC20</f>
        <v>0.22452369876779432</v>
      </c>
      <c r="AD17" s="835"/>
      <c r="AE17" s="835"/>
      <c r="AF17" s="819" t="s">
        <v>3</v>
      </c>
      <c r="AG17" s="836"/>
      <c r="AH17" s="836"/>
      <c r="AI17" s="836"/>
      <c r="AJ17" s="836"/>
      <c r="AK17" s="836"/>
      <c r="AL17" s="836"/>
      <c r="AM17" s="836"/>
      <c r="AN17" s="836"/>
      <c r="AO17" s="836"/>
      <c r="AP17" s="836"/>
      <c r="AQ17" s="836"/>
      <c r="AR17" s="836"/>
      <c r="AS17" s="836"/>
      <c r="AT17" s="836"/>
      <c r="AU17" s="836"/>
      <c r="AV17" s="836"/>
      <c r="AW17" s="836"/>
      <c r="AX17" s="836"/>
      <c r="AY17" s="836"/>
      <c r="AZ17" s="836"/>
      <c r="BA17" s="836"/>
      <c r="BB17" s="836"/>
      <c r="BC17" s="836"/>
      <c r="BD17" s="836"/>
    </row>
    <row r="18" spans="2:56" ht="12.75">
      <c r="B18" s="832" t="s">
        <v>232</v>
      </c>
      <c r="C18" s="853"/>
      <c r="D18" s="853"/>
      <c r="E18" s="853"/>
      <c r="F18" s="853"/>
      <c r="G18" s="853">
        <v>60.35389</v>
      </c>
      <c r="H18" s="853">
        <v>66.15163000000001</v>
      </c>
      <c r="I18" s="853">
        <v>195.77716999999998</v>
      </c>
      <c r="J18" s="853">
        <v>339.06891500000006</v>
      </c>
      <c r="K18" s="853">
        <v>358.24208799999997</v>
      </c>
      <c r="L18" s="853">
        <v>507.36566899999997</v>
      </c>
      <c r="M18" s="853">
        <v>433.589</v>
      </c>
      <c r="N18" s="853">
        <v>196.17129</v>
      </c>
      <c r="O18" s="853">
        <v>120.021</v>
      </c>
      <c r="P18" s="853">
        <v>72.15211000000001</v>
      </c>
      <c r="Q18" s="853">
        <v>165.06376</v>
      </c>
      <c r="R18" s="853">
        <v>229.88297999999998</v>
      </c>
      <c r="S18" s="853">
        <v>340.19845000000004</v>
      </c>
      <c r="T18" s="853">
        <v>388.50857</v>
      </c>
      <c r="U18" s="853">
        <v>619.206</v>
      </c>
      <c r="V18" s="853">
        <v>719.579</v>
      </c>
      <c r="W18" s="853">
        <v>978.752</v>
      </c>
      <c r="X18" s="853">
        <v>1641.7509652</v>
      </c>
      <c r="Y18" s="853">
        <v>2467.4208604500004</v>
      </c>
      <c r="Z18" s="853">
        <f>BD18/$AG$14</f>
        <v>2166.0825</v>
      </c>
      <c r="AA18" s="833">
        <f>SUM(C18:Y18)</f>
        <v>9899.25534765</v>
      </c>
      <c r="AC18" s="834">
        <f>+AA18/AC20</f>
        <v>0.6675265769836732</v>
      </c>
      <c r="AD18" s="835"/>
      <c r="AE18" s="835"/>
      <c r="AF18" s="819" t="s">
        <v>295</v>
      </c>
      <c r="AG18" s="836">
        <f>'10.17.1 Inversion Privada'!C104</f>
        <v>0</v>
      </c>
      <c r="AH18" s="836">
        <f>'10.17.1 Inversion Privada'!D104</f>
        <v>0</v>
      </c>
      <c r="AI18" s="836">
        <f>'10.17.1 Inversion Privada'!E104</f>
        <v>0</v>
      </c>
      <c r="AJ18" s="836">
        <f>'10.17.1 Inversion Privada'!F104</f>
        <v>0</v>
      </c>
      <c r="AK18" s="836">
        <f>'10.17.1 Inversion Privada'!G104</f>
        <v>60353.89</v>
      </c>
      <c r="AL18" s="836">
        <f>'10.17.1 Inversion Privada'!H104</f>
        <v>66151.63</v>
      </c>
      <c r="AM18" s="836">
        <f>'10.17.1 Inversion Privada'!I104</f>
        <v>195777.16999999998</v>
      </c>
      <c r="AN18" s="836">
        <f>'10.17.1 Inversion Privada'!J104</f>
        <v>339068.91500000004</v>
      </c>
      <c r="AO18" s="836">
        <f>'10.17.1 Inversion Privada'!K104</f>
        <v>358242.088</v>
      </c>
      <c r="AP18" s="836">
        <f>'10.17.1 Inversion Privada'!L104</f>
        <v>507365.669</v>
      </c>
      <c r="AQ18" s="836">
        <f>'10.17.1 Inversion Privada'!M104</f>
        <v>433589</v>
      </c>
      <c r="AR18" s="836">
        <f>'10.17.1 Inversion Privada'!N104</f>
        <v>196171.29</v>
      </c>
      <c r="AS18" s="836">
        <f>'10.17.1 Inversion Privada'!O104</f>
        <v>120021</v>
      </c>
      <c r="AT18" s="836">
        <f>'10.17.1 Inversion Privada'!P104</f>
        <v>72152.11</v>
      </c>
      <c r="AU18" s="836">
        <f>'10.17.1 Inversion Privada'!Q104</f>
        <v>165063.76</v>
      </c>
      <c r="AV18" s="836">
        <f>'10.17.1 Inversion Privada'!R104</f>
        <v>229882.97999999998</v>
      </c>
      <c r="AW18" s="836">
        <f>'10.17.1 Inversion Privada'!S104</f>
        <v>340198.45</v>
      </c>
      <c r="AX18" s="836">
        <f>'10.17.1 Inversion Privada'!T104</f>
        <v>388508.57</v>
      </c>
      <c r="AY18" s="836">
        <f>'10.17.1 Inversion Privada'!U104</f>
        <v>619206</v>
      </c>
      <c r="AZ18" s="836">
        <f>'10.17.1 Inversion Privada'!V104</f>
        <v>719579</v>
      </c>
      <c r="BA18" s="836">
        <f>'10.17.1 Inversion Privada'!W104</f>
        <v>978752</v>
      </c>
      <c r="BB18" s="836">
        <f>'10.17.1 Inversion Privada'!X104</f>
        <v>1641750.9652000002</v>
      </c>
      <c r="BC18" s="836">
        <f>'10.17.1 Inversion Privada'!Y104</f>
        <v>2467420.8604500005</v>
      </c>
      <c r="BD18" s="836">
        <f>'10.17.1 Inversion Privada'!Z104</f>
        <v>2166082.5</v>
      </c>
    </row>
    <row r="19" spans="2:50" ht="12.75">
      <c r="B19" s="832" t="s">
        <v>238</v>
      </c>
      <c r="C19" s="853">
        <f>'10.17.2 y 3 Publica y Gub.'!C48/1000</f>
        <v>0</v>
      </c>
      <c r="D19" s="853">
        <f>'10.17.2 y 3 Publica y Gub.'!D48/1000</f>
        <v>0</v>
      </c>
      <c r="E19" s="853">
        <f>'10.17.2 y 3 Publica y Gub.'!E48/1000</f>
        <v>0</v>
      </c>
      <c r="F19" s="853">
        <f>'10.17.2 y 3 Publica y Gub.'!F48/1000</f>
        <v>7.256</v>
      </c>
      <c r="G19" s="853">
        <f>'10.17.2 y 3 Publica y Gub.'!G48/1000</f>
        <v>74.409</v>
      </c>
      <c r="H19" s="853">
        <f>'10.17.2 y 3 Publica y Gub.'!H48/1000</f>
        <v>74.288</v>
      </c>
      <c r="I19" s="853">
        <f>'10.17.2 y 3 Publica y Gub.'!I48/1000</f>
        <v>135.95</v>
      </c>
      <c r="J19" s="853">
        <f>'10.17.2 y 3 Publica y Gub.'!J48/1000</f>
        <v>46.558</v>
      </c>
      <c r="K19" s="853">
        <f>'10.17.2 y 3 Publica y Gub.'!K48/1000</f>
        <v>51.488</v>
      </c>
      <c r="L19" s="853">
        <f>'10.17.2 y 3 Publica y Gub.'!L48/1000</f>
        <v>54.64</v>
      </c>
      <c r="M19" s="853">
        <f>'10.17.2 y 3 Publica y Gub.'!M48/1000</f>
        <v>53.411</v>
      </c>
      <c r="N19" s="853">
        <f>'10.17.2 y 3 Publica y Gub.'!N48/1000</f>
        <v>45.167</v>
      </c>
      <c r="O19" s="853">
        <f>'10.17.2 y 3 Publica y Gub.'!O48/1000</f>
        <v>17.33</v>
      </c>
      <c r="P19" s="853">
        <f>'10.17.2 y 3 Publica y Gub.'!P48/1000</f>
        <v>43.427714</v>
      </c>
      <c r="Q19" s="853">
        <f>'10.17.2 y 3 Publica y Gub.'!Q48/1000</f>
        <v>39.078</v>
      </c>
      <c r="R19" s="853">
        <f>'10.17.2 y 3 Publica y Gub.'!R48/1000</f>
        <v>45.244</v>
      </c>
      <c r="S19" s="853">
        <f>'10.17.2 y 3 Publica y Gub.'!S48/1000</f>
        <v>33.953</v>
      </c>
      <c r="T19" s="853">
        <f>'10.17.2 y 3 Publica y Gub.'!T48/1000</f>
        <v>89.927</v>
      </c>
      <c r="U19" s="853">
        <f>'10.17.2 y 3 Publica y Gub.'!U48/1000</f>
        <v>99.487</v>
      </c>
      <c r="V19" s="853">
        <f>'10.17.2 y 3 Publica y Gub.'!V48/1000</f>
        <v>184.722</v>
      </c>
      <c r="W19" s="853">
        <f>'10.17.2 y 3 Publica y Gub.'!W48/1000</f>
        <v>223.376</v>
      </c>
      <c r="X19" s="853">
        <f>'10.17.2 y 3 Publica y Gub.'!X48/1000</f>
        <v>131.275</v>
      </c>
      <c r="Y19" s="853">
        <f>'10.17.2 y 3 Publica y Gub.'!Y48/1000</f>
        <v>149.881209301822</v>
      </c>
      <c r="Z19" s="853">
        <f>'10.17.2 y 3 Publica y Gub.'!Z48/1000</f>
        <v>149.41353189887735</v>
      </c>
      <c r="AA19" s="833">
        <f>SUM(C19:Y19)</f>
        <v>1600.8679233018222</v>
      </c>
      <c r="AC19" s="834">
        <f>+AA19/AC20</f>
        <v>0.10794972424853237</v>
      </c>
      <c r="AD19" s="835"/>
      <c r="AE19" s="835"/>
      <c r="AG19" s="836"/>
      <c r="AH19" s="836"/>
      <c r="AI19" s="836"/>
      <c r="AJ19" s="836"/>
      <c r="AK19" s="836"/>
      <c r="AL19" s="836"/>
      <c r="AM19" s="836"/>
      <c r="AN19" s="836"/>
      <c r="AO19" s="836"/>
      <c r="AP19" s="836"/>
      <c r="AQ19" s="836"/>
      <c r="AR19" s="836"/>
      <c r="AS19" s="836"/>
      <c r="AT19" s="836"/>
      <c r="AU19" s="836"/>
      <c r="AV19" s="836"/>
      <c r="AW19" s="836"/>
      <c r="AX19" s="836"/>
    </row>
    <row r="20" spans="2:35" ht="12.75">
      <c r="B20" s="837"/>
      <c r="C20" s="838"/>
      <c r="D20" s="838"/>
      <c r="E20" s="838"/>
      <c r="F20" s="838"/>
      <c r="G20" s="838"/>
      <c r="H20" s="838"/>
      <c r="I20" s="838"/>
      <c r="J20" s="838"/>
      <c r="K20" s="838"/>
      <c r="L20" s="838"/>
      <c r="M20" s="838"/>
      <c r="N20" s="838"/>
      <c r="O20" s="838"/>
      <c r="P20" s="838"/>
      <c r="Q20" s="838"/>
      <c r="R20" s="838"/>
      <c r="S20" s="838"/>
      <c r="T20" s="838"/>
      <c r="U20" s="838"/>
      <c r="V20" s="838"/>
      <c r="W20" s="838"/>
      <c r="X20" s="838"/>
      <c r="Y20" s="838"/>
      <c r="Z20" s="838"/>
      <c r="AA20" s="839">
        <f>SUM(C20:V20)</f>
        <v>0</v>
      </c>
      <c r="AB20" s="840"/>
      <c r="AC20" s="841">
        <f>+SUM(AA17:AA19)</f>
        <v>14829.754632963657</v>
      </c>
      <c r="AD20" s="835"/>
      <c r="AE20" s="835"/>
      <c r="AG20" s="831"/>
      <c r="AH20" s="831"/>
      <c r="AI20" s="831"/>
    </row>
    <row r="21" spans="2:35" ht="12.75">
      <c r="B21" s="816"/>
      <c r="C21" s="842"/>
      <c r="D21" s="842"/>
      <c r="E21" s="842"/>
      <c r="F21" s="842"/>
      <c r="G21" s="842"/>
      <c r="H21" s="842"/>
      <c r="I21" s="842"/>
      <c r="J21" s="842"/>
      <c r="K21" s="842"/>
      <c r="L21" s="842"/>
      <c r="M21" s="842"/>
      <c r="N21" s="842"/>
      <c r="O21" s="842"/>
      <c r="P21" s="842"/>
      <c r="Q21" s="842"/>
      <c r="R21" s="842"/>
      <c r="S21" s="842"/>
      <c r="T21" s="842"/>
      <c r="U21" s="842"/>
      <c r="V21" s="842"/>
      <c r="W21" s="842"/>
      <c r="X21" s="842"/>
      <c r="Y21" s="842"/>
      <c r="Z21" s="842"/>
      <c r="AA21" s="843"/>
      <c r="AB21" s="840"/>
      <c r="AC21" s="835"/>
      <c r="AD21" s="835"/>
      <c r="AE21" s="835"/>
      <c r="AG21" s="831"/>
      <c r="AH21" s="831"/>
      <c r="AI21" s="831"/>
    </row>
    <row r="22" spans="2:35" ht="12.75">
      <c r="B22" s="816"/>
      <c r="C22" s="842"/>
      <c r="D22" s="842"/>
      <c r="E22" s="842"/>
      <c r="F22" s="842"/>
      <c r="G22" s="842"/>
      <c r="H22" s="842"/>
      <c r="I22" s="842"/>
      <c r="J22" s="842"/>
      <c r="K22" s="842"/>
      <c r="L22" s="842"/>
      <c r="M22" s="842"/>
      <c r="N22" s="842"/>
      <c r="O22" s="842"/>
      <c r="P22" s="842"/>
      <c r="Q22" s="842"/>
      <c r="R22" s="842"/>
      <c r="S22" s="842"/>
      <c r="T22" s="842"/>
      <c r="U22" s="842"/>
      <c r="V22" s="842"/>
      <c r="W22" s="842"/>
      <c r="X22" s="842"/>
      <c r="Y22" s="842"/>
      <c r="Z22" s="842"/>
      <c r="AA22" s="843"/>
      <c r="AB22" s="840"/>
      <c r="AC22" s="835"/>
      <c r="AD22" s="835"/>
      <c r="AE22" s="835"/>
      <c r="AG22" s="831"/>
      <c r="AH22" s="831"/>
      <c r="AI22" s="831"/>
    </row>
    <row r="23" spans="2:31" ht="12.75">
      <c r="B23" s="816"/>
      <c r="C23" s="702"/>
      <c r="D23" s="702"/>
      <c r="E23" s="702"/>
      <c r="F23" s="702"/>
      <c r="G23" s="702"/>
      <c r="H23" s="702"/>
      <c r="I23" s="702"/>
      <c r="J23" s="702"/>
      <c r="K23" s="702"/>
      <c r="L23" s="702"/>
      <c r="M23" s="702"/>
      <c r="N23" s="702"/>
      <c r="O23" s="702"/>
      <c r="P23" s="702"/>
      <c r="Q23" s="702"/>
      <c r="R23" s="702"/>
      <c r="S23" s="702"/>
      <c r="T23" s="702"/>
      <c r="U23" s="702"/>
      <c r="V23" s="702"/>
      <c r="W23" s="702"/>
      <c r="X23" s="702"/>
      <c r="Y23" s="702"/>
      <c r="Z23" s="702"/>
      <c r="AA23" s="702"/>
      <c r="AB23" s="689"/>
      <c r="AD23" s="844"/>
      <c r="AE23" s="844"/>
    </row>
    <row r="25" spans="2:31" ht="15">
      <c r="B25" s="1180"/>
      <c r="C25" s="1180"/>
      <c r="D25" s="1180"/>
      <c r="E25" s="1180"/>
      <c r="F25" s="1180"/>
      <c r="G25" s="1180"/>
      <c r="H25" s="1180"/>
      <c r="I25" s="1180"/>
      <c r="J25" s="1180"/>
      <c r="K25" s="1180"/>
      <c r="L25" s="1180"/>
      <c r="M25" s="1180"/>
      <c r="N25" s="1180"/>
      <c r="O25" s="1180"/>
      <c r="P25" s="1180"/>
      <c r="Q25" s="1180"/>
      <c r="R25" s="1180"/>
      <c r="S25" s="1180"/>
      <c r="T25" s="1180"/>
      <c r="U25" s="1180"/>
      <c r="V25" s="1180"/>
      <c r="W25" s="1180"/>
      <c r="X25" s="1180"/>
      <c r="Y25" s="1180"/>
      <c r="Z25" s="1180"/>
      <c r="AA25" s="1180"/>
      <c r="AB25" s="845"/>
      <c r="AC25" s="846"/>
      <c r="AD25" s="846"/>
      <c r="AE25" s="846"/>
    </row>
    <row r="26" spans="2:31" ht="15.75">
      <c r="B26" s="847"/>
      <c r="C26" s="847"/>
      <c r="D26" s="847"/>
      <c r="E26" s="847"/>
      <c r="F26" s="847"/>
      <c r="G26" s="847"/>
      <c r="H26" s="847"/>
      <c r="I26" s="847"/>
      <c r="J26" s="847"/>
      <c r="K26" s="847"/>
      <c r="L26" s="847"/>
      <c r="M26" s="847"/>
      <c r="N26" s="847"/>
      <c r="O26" s="847"/>
      <c r="P26" s="847"/>
      <c r="Q26" s="847"/>
      <c r="R26" s="847"/>
      <c r="S26" s="847"/>
      <c r="T26" s="847"/>
      <c r="U26" s="847"/>
      <c r="V26" s="847"/>
      <c r="W26" s="847"/>
      <c r="X26" s="847"/>
      <c r="Y26" s="847"/>
      <c r="Z26" s="847"/>
      <c r="AA26" s="847"/>
      <c r="AB26" s="847"/>
      <c r="AC26" s="848"/>
      <c r="AD26" s="848"/>
      <c r="AE26" s="848"/>
    </row>
    <row r="27" spans="2:31" ht="12.75">
      <c r="B27" s="849"/>
      <c r="C27" s="849"/>
      <c r="D27" s="849"/>
      <c r="E27" s="849"/>
      <c r="F27" s="849"/>
      <c r="G27" s="849"/>
      <c r="H27" s="849"/>
      <c r="I27" s="849"/>
      <c r="J27" s="849"/>
      <c r="K27" s="849"/>
      <c r="L27" s="849"/>
      <c r="M27" s="849"/>
      <c r="N27" s="849"/>
      <c r="O27" s="849"/>
      <c r="P27" s="849"/>
      <c r="Q27" s="849"/>
      <c r="R27" s="849"/>
      <c r="S27" s="849"/>
      <c r="T27" s="849"/>
      <c r="U27" s="849"/>
      <c r="V27" s="849"/>
      <c r="W27" s="849"/>
      <c r="X27" s="849"/>
      <c r="Y27" s="849"/>
      <c r="Z27" s="849"/>
      <c r="AA27" s="825"/>
      <c r="AB27" s="825"/>
      <c r="AC27" s="826"/>
      <c r="AD27" s="826"/>
      <c r="AE27" s="826"/>
    </row>
    <row r="28" spans="2:31" ht="12.75">
      <c r="B28" s="690"/>
      <c r="C28" s="690"/>
      <c r="D28" s="690"/>
      <c r="E28" s="690"/>
      <c r="F28" s="690"/>
      <c r="G28" s="690"/>
      <c r="H28" s="690"/>
      <c r="I28" s="690"/>
      <c r="J28" s="690"/>
      <c r="K28" s="690"/>
      <c r="L28" s="690"/>
      <c r="M28" s="690"/>
      <c r="N28" s="690"/>
      <c r="O28" s="690"/>
      <c r="P28" s="690"/>
      <c r="Q28" s="690"/>
      <c r="R28" s="690"/>
      <c r="S28" s="690"/>
      <c r="T28" s="690"/>
      <c r="U28" s="690"/>
      <c r="V28" s="690"/>
      <c r="W28" s="690"/>
      <c r="X28" s="690"/>
      <c r="Y28" s="690"/>
      <c r="Z28" s="690"/>
      <c r="AA28" s="690"/>
      <c r="AB28" s="690"/>
      <c r="AC28" s="851"/>
      <c r="AD28" s="851"/>
      <c r="AE28" s="851"/>
    </row>
    <row r="29" spans="2:32" ht="12.75">
      <c r="B29" s="655"/>
      <c r="C29" s="655"/>
      <c r="D29" s="655"/>
      <c r="E29" s="655"/>
      <c r="F29" s="655"/>
      <c r="G29" s="655"/>
      <c r="H29" s="655"/>
      <c r="I29" s="655"/>
      <c r="J29" s="655"/>
      <c r="K29" s="655"/>
      <c r="L29" s="655"/>
      <c r="M29" s="655"/>
      <c r="N29" s="655"/>
      <c r="O29" s="655"/>
      <c r="P29" s="655"/>
      <c r="Q29" s="655"/>
      <c r="R29" s="655"/>
      <c r="S29" s="655"/>
      <c r="T29" s="655"/>
      <c r="U29" s="655"/>
      <c r="V29" s="655"/>
      <c r="W29" s="655"/>
      <c r="X29" s="655"/>
      <c r="Y29" s="655"/>
      <c r="Z29" s="655"/>
      <c r="AA29" s="655"/>
      <c r="AF29" s="819" t="s">
        <v>296</v>
      </c>
    </row>
    <row r="32" spans="33:56" ht="12.75">
      <c r="AG32" s="820">
        <v>1990</v>
      </c>
      <c r="AH32" s="820">
        <v>1991</v>
      </c>
      <c r="AI32" s="820">
        <v>1992</v>
      </c>
      <c r="AJ32" s="820">
        <v>1993</v>
      </c>
      <c r="AK32" s="820">
        <v>1994</v>
      </c>
      <c r="AL32" s="820">
        <v>1995</v>
      </c>
      <c r="AM32" s="820">
        <v>1996</v>
      </c>
      <c r="AN32" s="820">
        <v>1997</v>
      </c>
      <c r="AO32" s="820">
        <v>1998</v>
      </c>
      <c r="AP32" s="820">
        <v>1999</v>
      </c>
      <c r="AQ32" s="820">
        <v>2000</v>
      </c>
      <c r="AR32" s="820">
        <v>2001</v>
      </c>
      <c r="AS32" s="820">
        <v>2002</v>
      </c>
      <c r="AT32" s="820">
        <v>2003</v>
      </c>
      <c r="AU32" s="820">
        <v>2004</v>
      </c>
      <c r="AV32" s="820">
        <v>2005</v>
      </c>
      <c r="AW32" s="820">
        <v>2006</v>
      </c>
      <c r="AX32" s="820">
        <v>2007</v>
      </c>
      <c r="AY32" s="820">
        <v>2008</v>
      </c>
      <c r="AZ32" s="820">
        <v>2009</v>
      </c>
      <c r="BA32" s="820">
        <v>2010</v>
      </c>
      <c r="BB32" s="820">
        <v>2011</v>
      </c>
      <c r="BC32" s="820">
        <v>2012</v>
      </c>
      <c r="BD32" s="820">
        <v>2013</v>
      </c>
    </row>
    <row r="33" spans="32:56" ht="12.75">
      <c r="AF33" s="819" t="s">
        <v>0</v>
      </c>
      <c r="AG33" s="824">
        <f>('10.17.1 Inversion Privada'!C71+'10.17.2 y 3 Publica y Gub.'!C17)/1000</f>
        <v>42.708</v>
      </c>
      <c r="AH33" s="824">
        <f>('10.17.1 Inversion Privada'!D71+'10.17.2 y 3 Publica y Gub.'!D17)/1000</f>
        <v>27.515</v>
      </c>
      <c r="AI33" s="824">
        <f>('10.17.1 Inversion Privada'!E71+'10.17.2 y 3 Publica y Gub.'!E17)/1000</f>
        <v>71.171</v>
      </c>
      <c r="AJ33" s="824">
        <f>('10.17.1 Inversion Privada'!F71+'10.17.2 y 3 Publica y Gub.'!F17)/1000</f>
        <v>68.373</v>
      </c>
      <c r="AK33" s="824">
        <f>('10.17.1 Inversion Privada'!G71+'10.17.2 y 3 Publica y Gub.'!G17)/1000</f>
        <v>66.006618</v>
      </c>
      <c r="AL33" s="824">
        <f>('10.17.1 Inversion Privada'!H71+'10.17.2 y 3 Publica y Gub.'!H17)/1000</f>
        <v>46.052738999999995</v>
      </c>
      <c r="AM33" s="824">
        <f>('10.17.1 Inversion Privada'!I71+'10.17.2 y 3 Publica y Gub.'!I17)/1000</f>
        <v>162.874897</v>
      </c>
      <c r="AN33" s="824">
        <f>('10.17.1 Inversion Privada'!J71+'10.17.2 y 3 Publica y Gub.'!J17)/1000</f>
        <v>342.77713100000005</v>
      </c>
      <c r="AO33" s="824">
        <f>('10.17.1 Inversion Privada'!K71+'10.17.2 y 3 Publica y Gub.'!K17)/1000</f>
        <v>364.88524100000006</v>
      </c>
      <c r="AP33" s="824">
        <f>('10.17.1 Inversion Privada'!L71+'10.17.2 y 3 Publica y Gub.'!L17)/1000</f>
        <v>416.783328</v>
      </c>
      <c r="AQ33" s="824">
        <f>('10.17.1 Inversion Privada'!M71+'10.17.2 y 3 Publica y Gub.'!M17)/1000</f>
        <v>331.438</v>
      </c>
      <c r="AR33" s="824">
        <f>('10.17.1 Inversion Privada'!N71+'10.17.2 y 3 Publica y Gub.'!N17)/1000</f>
        <v>95.10517999999999</v>
      </c>
      <c r="AS33" s="824">
        <f>('10.17.1 Inversion Privada'!O71+'10.17.2 y 3 Publica y Gub.'!O17)/1000</f>
        <v>95.518</v>
      </c>
      <c r="AT33" s="824">
        <f>('10.17.1 Inversion Privada'!P71+'10.17.2 y 3 Publica y Gub.'!P17)/1000</f>
        <v>78.1935</v>
      </c>
      <c r="AU33" s="824">
        <f>('10.17.1 Inversion Privada'!Q71+'10.17.2 y 3 Publica y Gub.'!Q17)/1000</f>
        <v>156.07822</v>
      </c>
      <c r="AV33" s="824">
        <f>('10.17.1 Inversion Privada'!R71+'10.17.2 y 3 Publica y Gub.'!R17)/1000</f>
        <v>192.31270999999998</v>
      </c>
      <c r="AW33" s="824">
        <f>('10.17.1 Inversion Privada'!S71+'10.17.2 y 3 Publica y Gub.'!S17)/1000</f>
        <v>279.31392</v>
      </c>
      <c r="AX33" s="824">
        <f>('10.17.1 Inversion Privada'!T71+'10.17.2 y 3 Publica y Gub.'!T17)/1000</f>
        <v>307.1913</v>
      </c>
      <c r="AY33" s="824">
        <f>('10.17.1 Inversion Privada'!U71+'10.17.2 y 3 Publica y Gub.'!U17)/1000</f>
        <v>469.077</v>
      </c>
      <c r="AZ33" s="824">
        <f>('10.17.1 Inversion Privada'!V71+'10.17.2 y 3 Publica y Gub.'!V17)/1000</f>
        <v>426.132</v>
      </c>
      <c r="BA33" s="824">
        <f>('10.17.1 Inversion Privada'!W71+'10.17.2 y 3 Publica y Gub.'!W17)/1000</f>
        <v>558.634</v>
      </c>
      <c r="BB33" s="824">
        <f>('10.17.1 Inversion Privada'!X71+'10.17.2 y 3 Publica y Gub.'!X17)/1000</f>
        <v>1240.7880652000001</v>
      </c>
      <c r="BC33" s="824">
        <f>('10.17.1 Inversion Privada'!Y71+'10.17.2 y 3 Publica y Gub.'!Y17)/1000</f>
        <v>1781.40966045</v>
      </c>
      <c r="BD33" s="824">
        <f>('10.17.1 Inversion Privada'!Z71+'10.17.2 y 3 Publica y Gub.'!Z17)/1000</f>
        <v>1765.6235</v>
      </c>
    </row>
    <row r="34" spans="32:56" ht="12.75">
      <c r="AF34" s="819" t="s">
        <v>232</v>
      </c>
      <c r="AG34" s="824">
        <f>'10.17.1 Inversion Privada'!C71/1000</f>
        <v>0</v>
      </c>
      <c r="AH34" s="824">
        <f>'10.17.1 Inversion Privada'!D71/1000</f>
        <v>0</v>
      </c>
      <c r="AI34" s="824">
        <f>'10.17.1 Inversion Privada'!E71/1000</f>
        <v>0</v>
      </c>
      <c r="AJ34" s="824">
        <f>'10.17.1 Inversion Privada'!F71/1000</f>
        <v>0</v>
      </c>
      <c r="AK34" s="824">
        <f>'10.17.1 Inversion Privada'!G71/1000</f>
        <v>31.47889</v>
      </c>
      <c r="AL34" s="824">
        <f>'10.17.1 Inversion Privada'!H71/1000</f>
        <v>7.6346300000000005</v>
      </c>
      <c r="AM34" s="824">
        <f>'10.17.1 Inversion Privada'!I71/1000</f>
        <v>97.60745999999999</v>
      </c>
      <c r="AN34" s="824">
        <f>'10.17.1 Inversion Privada'!J71/1000</f>
        <v>239.53995500000002</v>
      </c>
      <c r="AO34" s="824">
        <f>'10.17.1 Inversion Privada'!K71/1000</f>
        <v>250.346128</v>
      </c>
      <c r="AP34" s="824">
        <f>'10.17.1 Inversion Privada'!L71/1000</f>
        <v>280.451419</v>
      </c>
      <c r="AQ34" s="824">
        <f>'10.17.1 Inversion Privada'!M71/1000</f>
        <v>208.222</v>
      </c>
      <c r="AR34" s="824">
        <f>'10.17.1 Inversion Privada'!N71/1000</f>
        <v>18.8281</v>
      </c>
      <c r="AS34" s="824">
        <f>'10.17.1 Inversion Privada'!O71/1000</f>
        <v>17.72</v>
      </c>
      <c r="AT34" s="824">
        <f>'10.17.1 Inversion Privada'!P71/1000</f>
        <v>11.088</v>
      </c>
      <c r="AU34" s="824">
        <f>'10.17.1 Inversion Privada'!Q71/1000</f>
        <v>89.077</v>
      </c>
      <c r="AV34" s="824">
        <f>'10.17.1 Inversion Privada'!R71/1000</f>
        <v>138.546</v>
      </c>
      <c r="AW34" s="824">
        <f>'10.17.1 Inversion Privada'!S71/1000</f>
        <v>250.116</v>
      </c>
      <c r="AX34" s="824">
        <f>'10.17.1 Inversion Privada'!T71/1000</f>
        <v>233.692</v>
      </c>
      <c r="AY34" s="824">
        <f>'10.17.1 Inversion Privada'!U71/1000</f>
        <v>442.564</v>
      </c>
      <c r="AZ34" s="824">
        <f>'10.17.1 Inversion Privada'!V71/1000</f>
        <v>337.283</v>
      </c>
      <c r="BA34" s="824">
        <f>'10.17.1 Inversion Privada'!W71/1000</f>
        <v>533.52</v>
      </c>
      <c r="BB34" s="824">
        <f>'10.17.1 Inversion Privada'!X71/1000</f>
        <v>1212.1923652</v>
      </c>
      <c r="BC34" s="824">
        <f>'10.17.1 Inversion Privada'!Y71/1000</f>
        <v>1746.12966045</v>
      </c>
      <c r="BD34" s="824">
        <f>'10.17.1 Inversion Privada'!Z71/1000</f>
        <v>1700.4087</v>
      </c>
    </row>
    <row r="35" spans="32:56" ht="12.75">
      <c r="AF35" s="819" t="s">
        <v>233</v>
      </c>
      <c r="AG35" s="824">
        <f>'10.17.2 y 3 Publica y Gub.'!C17/1000</f>
        <v>42.708</v>
      </c>
      <c r="AH35" s="824">
        <f>'10.17.2 y 3 Publica y Gub.'!D17/1000</f>
        <v>27.515</v>
      </c>
      <c r="AI35" s="824">
        <f>'10.17.2 y 3 Publica y Gub.'!E17/1000</f>
        <v>71.171</v>
      </c>
      <c r="AJ35" s="824">
        <f>'10.17.2 y 3 Publica y Gub.'!F17/1000</f>
        <v>68.373</v>
      </c>
      <c r="AK35" s="824">
        <f>'10.17.2 y 3 Publica y Gub.'!G17/1000</f>
        <v>34.527728</v>
      </c>
      <c r="AL35" s="824">
        <f>'10.17.2 y 3 Publica y Gub.'!H17/1000</f>
        <v>38.418108999999994</v>
      </c>
      <c r="AM35" s="824">
        <f>'10.17.2 y 3 Publica y Gub.'!I17/1000</f>
        <v>65.267437</v>
      </c>
      <c r="AN35" s="824">
        <f>'10.17.2 y 3 Publica y Gub.'!J17/1000</f>
        <v>103.237176</v>
      </c>
      <c r="AO35" s="824">
        <f>'10.17.2 y 3 Publica y Gub.'!K17/1000</f>
        <v>114.53911300000001</v>
      </c>
      <c r="AP35" s="824">
        <f>'10.17.2 y 3 Publica y Gub.'!L17/1000</f>
        <v>136.331909</v>
      </c>
      <c r="AQ35" s="824">
        <f>'10.17.2 y 3 Publica y Gub.'!M17/1000</f>
        <v>123.216</v>
      </c>
      <c r="AR35" s="824">
        <f>'10.17.2 y 3 Publica y Gub.'!N17/1000</f>
        <v>76.27708</v>
      </c>
      <c r="AS35" s="824">
        <f>'10.17.2 y 3 Publica y Gub.'!O17/1000</f>
        <v>77.798</v>
      </c>
      <c r="AT35" s="824">
        <f>'10.17.2 y 3 Publica y Gub.'!P17/1000</f>
        <v>67.1055</v>
      </c>
      <c r="AU35" s="824">
        <f>'10.17.2 y 3 Publica y Gub.'!Q17/1000</f>
        <v>67.00122</v>
      </c>
      <c r="AV35" s="824">
        <f>'10.17.2 y 3 Publica y Gub.'!R17/1000</f>
        <v>53.766709999999996</v>
      </c>
      <c r="AW35" s="824">
        <f>'10.17.2 y 3 Publica y Gub.'!S17/1000</f>
        <v>29.19792</v>
      </c>
      <c r="AX35" s="824">
        <f>'10.17.2 y 3 Publica y Gub.'!T17/1000</f>
        <v>73.49929999999999</v>
      </c>
      <c r="AY35" s="824">
        <f>'10.17.2 y 3 Publica y Gub.'!U17/1000</f>
        <v>26.513</v>
      </c>
      <c r="AZ35" s="824">
        <f>'10.17.2 y 3 Publica y Gub.'!V17/1000</f>
        <v>88.849</v>
      </c>
      <c r="BA35" s="824">
        <f>'10.17.2 y 3 Publica y Gub.'!W17/1000</f>
        <v>25.114</v>
      </c>
      <c r="BB35" s="824">
        <f>'10.17.2 y 3 Publica y Gub.'!X17/1000</f>
        <v>28.5957</v>
      </c>
      <c r="BC35" s="824">
        <f>'10.17.2 y 3 Publica y Gub.'!Y17/1000</f>
        <v>35.28</v>
      </c>
      <c r="BD35" s="824">
        <f>'10.17.2 y 3 Publica y Gub.'!Z17/1000</f>
        <v>65.2148</v>
      </c>
    </row>
    <row r="41" ht="12.75">
      <c r="AF41" s="819" t="s">
        <v>294</v>
      </c>
    </row>
    <row r="44" spans="33:56" ht="12.75">
      <c r="AG44" s="820">
        <v>1990</v>
      </c>
      <c r="AH44" s="820">
        <v>1991</v>
      </c>
      <c r="AI44" s="820">
        <v>1992</v>
      </c>
      <c r="AJ44" s="820">
        <v>1993</v>
      </c>
      <c r="AK44" s="820">
        <v>1994</v>
      </c>
      <c r="AL44" s="820">
        <v>1995</v>
      </c>
      <c r="AM44" s="820">
        <v>1996</v>
      </c>
      <c r="AN44" s="820">
        <v>1997</v>
      </c>
      <c r="AO44" s="820">
        <v>1998</v>
      </c>
      <c r="AP44" s="820">
        <v>1999</v>
      </c>
      <c r="AQ44" s="820">
        <v>2000</v>
      </c>
      <c r="AR44" s="820">
        <v>2001</v>
      </c>
      <c r="AS44" s="820">
        <v>2002</v>
      </c>
      <c r="AT44" s="820">
        <v>2003</v>
      </c>
      <c r="AU44" s="820">
        <v>2004</v>
      </c>
      <c r="AV44" s="820">
        <v>2005</v>
      </c>
      <c r="AW44" s="820">
        <v>2006</v>
      </c>
      <c r="AX44" s="820">
        <v>2007</v>
      </c>
      <c r="AY44" s="820">
        <v>2008</v>
      </c>
      <c r="AZ44" s="820">
        <v>2009</v>
      </c>
      <c r="BA44" s="820">
        <v>2010</v>
      </c>
      <c r="BB44" s="820">
        <v>2011</v>
      </c>
      <c r="BC44" s="854">
        <v>2012</v>
      </c>
      <c r="BD44" s="854">
        <v>2013</v>
      </c>
    </row>
    <row r="45" spans="32:56" ht="12.75">
      <c r="AF45" s="819" t="s">
        <v>0</v>
      </c>
      <c r="AG45" s="850">
        <f>SUM(AG46:AG47)</f>
        <v>86.948</v>
      </c>
      <c r="AH45" s="850">
        <f aca="true" t="shared" si="2" ref="AH45:BC45">SUM(AH46:AH47)</f>
        <v>63.737</v>
      </c>
      <c r="AI45" s="850">
        <f t="shared" si="2"/>
        <v>18.344</v>
      </c>
      <c r="AJ45" s="850">
        <f t="shared" si="2"/>
        <v>13.229</v>
      </c>
      <c r="AK45" s="850">
        <f t="shared" si="2"/>
        <v>0.336</v>
      </c>
      <c r="AL45" s="850">
        <f t="shared" si="2"/>
        <v>11.41265</v>
      </c>
      <c r="AM45" s="850">
        <f t="shared" si="2"/>
        <v>16.601</v>
      </c>
      <c r="AN45" s="850">
        <f t="shared" si="2"/>
        <v>32.72078</v>
      </c>
      <c r="AO45" s="850">
        <f t="shared" si="2"/>
        <v>59.64327</v>
      </c>
      <c r="AP45" s="850">
        <f t="shared" si="2"/>
        <v>170.80662</v>
      </c>
      <c r="AQ45" s="850">
        <f t="shared" si="2"/>
        <v>128.939</v>
      </c>
      <c r="AR45" s="850">
        <f t="shared" si="2"/>
        <v>61.743</v>
      </c>
      <c r="AS45" s="850">
        <f t="shared" si="2"/>
        <v>37.657000000000004</v>
      </c>
      <c r="AT45" s="850">
        <f t="shared" si="2"/>
        <v>12.825610000000001</v>
      </c>
      <c r="AU45" s="850">
        <f t="shared" si="2"/>
        <v>24.36586</v>
      </c>
      <c r="AV45" s="850">
        <f t="shared" si="2"/>
        <v>20.6339</v>
      </c>
      <c r="AW45" s="850">
        <f t="shared" si="2"/>
        <v>16.54345</v>
      </c>
      <c r="AX45" s="850">
        <f t="shared" si="2"/>
        <v>69.63589999999999</v>
      </c>
      <c r="AY45" s="850">
        <f t="shared" si="2"/>
        <v>43.106</v>
      </c>
      <c r="AZ45" s="850">
        <f t="shared" si="2"/>
        <v>254.363</v>
      </c>
      <c r="BA45" s="850">
        <f t="shared" si="2"/>
        <v>332.557</v>
      </c>
      <c r="BB45" s="850">
        <f t="shared" si="2"/>
        <v>278.546</v>
      </c>
      <c r="BC45" s="850">
        <f t="shared" si="2"/>
        <v>470.27</v>
      </c>
      <c r="BD45" s="850">
        <f>SUM(BD46:BD47)</f>
        <v>188.4134</v>
      </c>
    </row>
    <row r="46" spans="32:56" ht="12.75">
      <c r="AF46" s="819" t="s">
        <v>232</v>
      </c>
      <c r="AG46" s="824">
        <f>'10.17.1 Inversion Privada'!C85/1000</f>
        <v>0</v>
      </c>
      <c r="AH46" s="824">
        <f>'10.17.1 Inversion Privada'!D85/1000</f>
        <v>0</v>
      </c>
      <c r="AI46" s="824">
        <f>'10.17.1 Inversion Privada'!E85/1000</f>
        <v>0</v>
      </c>
      <c r="AJ46" s="824">
        <f>'10.17.1 Inversion Privada'!F85/1000</f>
        <v>0</v>
      </c>
      <c r="AK46" s="824">
        <f>'10.17.1 Inversion Privada'!G85/1000</f>
        <v>0</v>
      </c>
      <c r="AL46" s="824">
        <f>'10.17.1 Inversion Privada'!H85/1000</f>
        <v>0</v>
      </c>
      <c r="AM46" s="824">
        <f>'10.17.1 Inversion Privada'!I85/1000</f>
        <v>0</v>
      </c>
      <c r="AN46" s="824">
        <f>'10.17.1 Inversion Privada'!J85/1000</f>
        <v>0</v>
      </c>
      <c r="AO46" s="824">
        <f>'10.17.1 Inversion Privada'!K85/1000</f>
        <v>13.488</v>
      </c>
      <c r="AP46" s="824">
        <f>'10.17.1 Inversion Privada'!L85/1000</f>
        <v>139.48872</v>
      </c>
      <c r="AQ46" s="824">
        <f>'10.17.1 Inversion Privada'!M85/1000</f>
        <v>102.249</v>
      </c>
      <c r="AR46" s="824">
        <f>'10.17.1 Inversion Privada'!N85/1000</f>
        <v>58.627</v>
      </c>
      <c r="AS46" s="824">
        <f>'10.17.1 Inversion Privada'!O85/1000</f>
        <v>37.28</v>
      </c>
      <c r="AT46" s="824">
        <f>'10.17.1 Inversion Privada'!P85/1000</f>
        <v>12.825610000000001</v>
      </c>
      <c r="AU46" s="824">
        <f>'10.17.1 Inversion Privada'!Q85/1000</f>
        <v>24.36586</v>
      </c>
      <c r="AV46" s="824">
        <f>'10.17.1 Inversion Privada'!R85/1000</f>
        <v>20.6339</v>
      </c>
      <c r="AW46" s="824">
        <f>'10.17.1 Inversion Privada'!S85/1000</f>
        <v>16.54345</v>
      </c>
      <c r="AX46" s="824">
        <f>'10.17.1 Inversion Privada'!T85/1000</f>
        <v>69.63589999999999</v>
      </c>
      <c r="AY46" s="824">
        <f>'10.17.1 Inversion Privada'!U85/1000</f>
        <v>43.106</v>
      </c>
      <c r="AZ46" s="824">
        <f>'10.17.1 Inversion Privada'!V85/1000</f>
        <v>254.363</v>
      </c>
      <c r="BA46" s="824">
        <f>'10.17.1 Inversion Privada'!W85/1000</f>
        <v>332.557</v>
      </c>
      <c r="BB46" s="824">
        <f>'10.17.1 Inversion Privada'!X85/1000</f>
        <v>278.546</v>
      </c>
      <c r="BC46" s="824">
        <f>'10.17.1 Inversion Privada'!Y85/1000</f>
        <v>470.27</v>
      </c>
      <c r="BD46" s="824">
        <f>'10.17.1 Inversion Privada'!Z85/1000</f>
        <v>188.4134</v>
      </c>
    </row>
    <row r="47" spans="32:56" ht="12.75">
      <c r="AF47" s="819" t="s">
        <v>233</v>
      </c>
      <c r="AG47" s="827">
        <f>'10.17.2 y 3 Publica y Gub.'!C25/1000</f>
        <v>86.948</v>
      </c>
      <c r="AH47" s="827">
        <f>'10.17.2 y 3 Publica y Gub.'!D25/1000</f>
        <v>63.737</v>
      </c>
      <c r="AI47" s="827">
        <f>'10.17.2 y 3 Publica y Gub.'!E25/1000</f>
        <v>18.344</v>
      </c>
      <c r="AJ47" s="827">
        <f>'10.17.2 y 3 Publica y Gub.'!F25/1000</f>
        <v>13.229</v>
      </c>
      <c r="AK47" s="827">
        <f>'10.17.2 y 3 Publica y Gub.'!G25/1000</f>
        <v>0.336</v>
      </c>
      <c r="AL47" s="827">
        <f>'10.17.2 y 3 Publica y Gub.'!H25/1000</f>
        <v>11.41265</v>
      </c>
      <c r="AM47" s="827">
        <f>'10.17.2 y 3 Publica y Gub.'!I25/1000</f>
        <v>16.601</v>
      </c>
      <c r="AN47" s="827">
        <f>'10.17.2 y 3 Publica y Gub.'!J25/1000</f>
        <v>32.72078</v>
      </c>
      <c r="AO47" s="827">
        <f>'10.17.2 y 3 Publica y Gub.'!K25/1000</f>
        <v>46.15527</v>
      </c>
      <c r="AP47" s="827">
        <f>'10.17.2 y 3 Publica y Gub.'!L25/1000</f>
        <v>31.3179</v>
      </c>
      <c r="AQ47" s="827">
        <f>'10.17.2 y 3 Publica y Gub.'!M25/1000</f>
        <v>26.69</v>
      </c>
      <c r="AR47" s="827">
        <f>'10.17.2 y 3 Publica y Gub.'!N25/1000</f>
        <v>3.116</v>
      </c>
      <c r="AS47" s="827">
        <f>'10.17.2 y 3 Publica y Gub.'!O25/1000</f>
        <v>0.377</v>
      </c>
      <c r="AT47" s="827">
        <f>'10.17.2 y 3 Publica y Gub.'!P25/1000</f>
        <v>0</v>
      </c>
      <c r="AU47" s="827">
        <f>'10.17.2 y 3 Publica y Gub.'!Q25/1000</f>
        <v>0</v>
      </c>
      <c r="AV47" s="827">
        <f>'10.17.2 y 3 Publica y Gub.'!R25/1000</f>
        <v>0</v>
      </c>
      <c r="AW47" s="827">
        <f>'10.17.2 y 3 Publica y Gub.'!S25/1000</f>
        <v>0</v>
      </c>
      <c r="AX47" s="827">
        <f>'10.17.2 y 3 Publica y Gub.'!T25/1000</f>
        <v>0</v>
      </c>
      <c r="AY47" s="827">
        <f>'10.17.2 y 3 Publica y Gub.'!U25/1000</f>
        <v>0</v>
      </c>
      <c r="AZ47" s="827">
        <f>'10.17.2 y 3 Publica y Gub.'!V25/1000</f>
        <v>0</v>
      </c>
      <c r="BA47" s="827">
        <f>'10.17.2 y 3 Publica y Gub.'!W25/1000</f>
        <v>0</v>
      </c>
      <c r="BB47" s="827">
        <f>'10.17.2 y 3 Publica y Gub.'!X25/1000</f>
        <v>0</v>
      </c>
      <c r="BC47" s="827">
        <f>'10.17.2 y 3 Publica y Gub.'!Y25/1000</f>
        <v>0</v>
      </c>
      <c r="BD47" s="827">
        <f>'10.17.2 y 3 Publica y Gub.'!Z25/1000</f>
        <v>0</v>
      </c>
    </row>
    <row r="58" spans="32:35" ht="12.75">
      <c r="AF58" s="819" t="s">
        <v>293</v>
      </c>
      <c r="AG58" s="831"/>
      <c r="AH58" s="831"/>
      <c r="AI58" s="831"/>
    </row>
    <row r="59" ht="12.75"/>
    <row r="60" ht="12.75"/>
    <row r="61" spans="33:56" ht="12.75">
      <c r="AG61" s="820">
        <v>1990</v>
      </c>
      <c r="AH61" s="820">
        <v>1991</v>
      </c>
      <c r="AI61" s="820">
        <v>1992</v>
      </c>
      <c r="AJ61" s="820">
        <v>1993</v>
      </c>
      <c r="AK61" s="820">
        <v>1994</v>
      </c>
      <c r="AL61" s="820">
        <v>1995</v>
      </c>
      <c r="AM61" s="820">
        <v>1996</v>
      </c>
      <c r="AN61" s="820">
        <v>1997</v>
      </c>
      <c r="AO61" s="820">
        <v>1998</v>
      </c>
      <c r="AP61" s="820">
        <v>1999</v>
      </c>
      <c r="AQ61" s="820">
        <v>2000</v>
      </c>
      <c r="AR61" s="820">
        <v>2001</v>
      </c>
      <c r="AS61" s="820">
        <v>2002</v>
      </c>
      <c r="AT61" s="820">
        <v>2003</v>
      </c>
      <c r="AU61" s="820">
        <v>2004</v>
      </c>
      <c r="AV61" s="820">
        <v>2005</v>
      </c>
      <c r="AW61" s="820">
        <v>2006</v>
      </c>
      <c r="AX61" s="820">
        <v>2007</v>
      </c>
      <c r="AY61" s="820">
        <v>2008</v>
      </c>
      <c r="AZ61" s="820">
        <v>2009</v>
      </c>
      <c r="BA61" s="820">
        <v>2010</v>
      </c>
      <c r="BB61" s="820">
        <v>2011</v>
      </c>
      <c r="BC61" s="854">
        <v>2012</v>
      </c>
      <c r="BD61" s="854">
        <v>2013</v>
      </c>
    </row>
    <row r="62" spans="32:56" ht="12.75">
      <c r="AF62" s="819" t="s">
        <v>0</v>
      </c>
      <c r="AG62" s="850">
        <f>SUM(AG63:AG64)</f>
        <v>6.943</v>
      </c>
      <c r="AH62" s="850">
        <f aca="true" t="shared" si="3" ref="AH62:BC62">SUM(AH63:AH64)</f>
        <v>23.607</v>
      </c>
      <c r="AI62" s="850">
        <f t="shared" si="3"/>
        <v>74.238</v>
      </c>
      <c r="AJ62" s="850">
        <f t="shared" si="3"/>
        <v>85.55</v>
      </c>
      <c r="AK62" s="850">
        <f t="shared" si="3"/>
        <v>73.40098</v>
      </c>
      <c r="AL62" s="850">
        <f t="shared" si="3"/>
        <v>163.39924000000002</v>
      </c>
      <c r="AM62" s="850">
        <f t="shared" si="3"/>
        <v>193.27748</v>
      </c>
      <c r="AN62" s="850">
        <f t="shared" si="3"/>
        <v>171.46096999999997</v>
      </c>
      <c r="AO62" s="850">
        <f t="shared" si="3"/>
        <v>136.50491999999997</v>
      </c>
      <c r="AP62" s="850">
        <f t="shared" si="3"/>
        <v>121.50028001183432</v>
      </c>
      <c r="AQ62" s="850">
        <f t="shared" si="3"/>
        <v>139.201</v>
      </c>
      <c r="AR62" s="850">
        <f t="shared" si="3"/>
        <v>134.38179</v>
      </c>
      <c r="AS62" s="850">
        <f t="shared" si="3"/>
        <v>96.701</v>
      </c>
      <c r="AT62" s="850">
        <f t="shared" si="3"/>
        <v>91.96504</v>
      </c>
      <c r="AU62" s="850">
        <f t="shared" si="3"/>
        <v>100.73510999999999</v>
      </c>
      <c r="AV62" s="850">
        <f t="shared" si="3"/>
        <v>134.3424</v>
      </c>
      <c r="AW62" s="850">
        <f t="shared" si="3"/>
        <v>140.08258</v>
      </c>
      <c r="AX62" s="850">
        <f t="shared" si="3"/>
        <v>151.39657</v>
      </c>
      <c r="AY62" s="850">
        <f t="shared" si="3"/>
        <v>235.905</v>
      </c>
      <c r="AZ62" s="850">
        <f t="shared" si="3"/>
        <v>289.065</v>
      </c>
      <c r="BA62" s="850">
        <f t="shared" si="3"/>
        <v>253.17200000000003</v>
      </c>
      <c r="BB62" s="850">
        <f t="shared" si="3"/>
        <v>229.3906</v>
      </c>
      <c r="BC62" s="850">
        <f t="shared" si="3"/>
        <v>337.36420000000004</v>
      </c>
      <c r="BD62" s="850">
        <f>SUM(BD63:BD64)</f>
        <v>402.1585</v>
      </c>
    </row>
    <row r="63" spans="32:56" ht="12.75">
      <c r="AF63" s="819" t="s">
        <v>232</v>
      </c>
      <c r="AG63" s="855">
        <f>'10.17.1 Inversion Privada'!C102/1000</f>
        <v>0</v>
      </c>
      <c r="AH63" s="855">
        <f>'10.17.1 Inversion Privada'!D102/1000</f>
        <v>0</v>
      </c>
      <c r="AI63" s="855">
        <f>'10.17.1 Inversion Privada'!E102/1000</f>
        <v>0</v>
      </c>
      <c r="AJ63" s="855">
        <f>'10.17.1 Inversion Privada'!F102/1000</f>
        <v>0</v>
      </c>
      <c r="AK63" s="855">
        <f>'10.17.1 Inversion Privada'!G102/1000</f>
        <v>28.875</v>
      </c>
      <c r="AL63" s="855">
        <f>'10.17.1 Inversion Privada'!H102/1000</f>
        <v>58.517</v>
      </c>
      <c r="AM63" s="855">
        <f>'10.17.1 Inversion Privada'!I102/1000</f>
        <v>98.16971</v>
      </c>
      <c r="AN63" s="855">
        <f>'10.17.1 Inversion Privada'!J102/1000</f>
        <v>99.52896</v>
      </c>
      <c r="AO63" s="855">
        <f>'10.17.1 Inversion Privada'!K102/1000</f>
        <v>94.40795999999999</v>
      </c>
      <c r="AP63" s="855">
        <f>'10.17.1 Inversion Privada'!L102/1000</f>
        <v>87.42553</v>
      </c>
      <c r="AQ63" s="855">
        <f>'10.17.1 Inversion Privada'!M102/1000</f>
        <v>123.118</v>
      </c>
      <c r="AR63" s="855">
        <f>'10.17.1 Inversion Privada'!N102/1000</f>
        <v>118.71619</v>
      </c>
      <c r="AS63" s="855">
        <f>'10.17.1 Inversion Privada'!O102/1000</f>
        <v>65.021</v>
      </c>
      <c r="AT63" s="855">
        <f>'10.17.1 Inversion Privada'!P102/1000</f>
        <v>48.2385</v>
      </c>
      <c r="AU63" s="855">
        <f>'10.17.1 Inversion Privada'!Q102/1000</f>
        <v>51.6209</v>
      </c>
      <c r="AV63" s="855">
        <f>'10.17.1 Inversion Privada'!R102/1000</f>
        <v>70.70308</v>
      </c>
      <c r="AW63" s="855">
        <f>'10.17.1 Inversion Privada'!S102/1000</f>
        <v>73.539</v>
      </c>
      <c r="AX63" s="855">
        <f>'10.17.1 Inversion Privada'!T102/1000</f>
        <v>85.18066999999999</v>
      </c>
      <c r="AY63" s="855">
        <f>'10.17.1 Inversion Privada'!U102/1000</f>
        <v>133.536</v>
      </c>
      <c r="AZ63" s="855">
        <f>'10.17.1 Inversion Privada'!V102/1000</f>
        <v>127.933</v>
      </c>
      <c r="BA63" s="855">
        <f>'10.17.1 Inversion Privada'!W102/1000</f>
        <v>112.675</v>
      </c>
      <c r="BB63" s="855">
        <f>'10.17.1 Inversion Privada'!X102/1000</f>
        <v>151.0126</v>
      </c>
      <c r="BC63" s="855">
        <f>'10.17.1 Inversion Privada'!Y102/1000</f>
        <v>251.02120000000002</v>
      </c>
      <c r="BD63" s="855">
        <f>'10.17.1 Inversion Privada'!Z102/1000</f>
        <v>277.2604</v>
      </c>
    </row>
    <row r="64" spans="32:56" ht="12.75">
      <c r="AF64" s="819" t="s">
        <v>233</v>
      </c>
      <c r="AG64" s="856">
        <f>'10.17.2 y 3 Publica y Gub.'!C42/1000</f>
        <v>6.943</v>
      </c>
      <c r="AH64" s="856">
        <f>'10.17.2 y 3 Publica y Gub.'!D42/1000</f>
        <v>23.607</v>
      </c>
      <c r="AI64" s="856">
        <f>'10.17.2 y 3 Publica y Gub.'!E42/1000</f>
        <v>74.238</v>
      </c>
      <c r="AJ64" s="856">
        <f>'10.17.2 y 3 Publica y Gub.'!F42/1000</f>
        <v>85.55</v>
      </c>
      <c r="AK64" s="856">
        <f>'10.17.2 y 3 Publica y Gub.'!G42/1000</f>
        <v>44.525980000000004</v>
      </c>
      <c r="AL64" s="856">
        <f>'10.17.2 y 3 Publica y Gub.'!H42/1000</f>
        <v>104.88224000000001</v>
      </c>
      <c r="AM64" s="856">
        <f>'10.17.2 y 3 Publica y Gub.'!I42/1000</f>
        <v>95.10777</v>
      </c>
      <c r="AN64" s="856">
        <f>'10.17.2 y 3 Publica y Gub.'!J42/1000</f>
        <v>71.93200999999999</v>
      </c>
      <c r="AO64" s="856">
        <f>'10.17.2 y 3 Publica y Gub.'!K42/1000</f>
        <v>42.09695999999999</v>
      </c>
      <c r="AP64" s="856">
        <f>'10.17.2 y 3 Publica y Gub.'!L42/1000</f>
        <v>34.07475001183432</v>
      </c>
      <c r="AQ64" s="856">
        <f>'10.17.2 y 3 Publica y Gub.'!M42/1000</f>
        <v>16.083</v>
      </c>
      <c r="AR64" s="856">
        <f>'10.17.2 y 3 Publica y Gub.'!N42/1000</f>
        <v>15.665599999999998</v>
      </c>
      <c r="AS64" s="856">
        <f>'10.17.2 y 3 Publica y Gub.'!O42/1000</f>
        <v>31.68</v>
      </c>
      <c r="AT64" s="856">
        <f>'10.17.2 y 3 Publica y Gub.'!P42/1000</f>
        <v>43.72654</v>
      </c>
      <c r="AU64" s="856">
        <f>'10.17.2 y 3 Publica y Gub.'!Q42/1000</f>
        <v>49.11421</v>
      </c>
      <c r="AV64" s="856">
        <f>'10.17.2 y 3 Publica y Gub.'!R42/1000</f>
        <v>63.63932</v>
      </c>
      <c r="AW64" s="856">
        <f>'10.17.2 y 3 Publica y Gub.'!S42/1000</f>
        <v>66.54358</v>
      </c>
      <c r="AX64" s="856">
        <f>'10.17.2 y 3 Publica y Gub.'!T42/1000</f>
        <v>66.21589999999999</v>
      </c>
      <c r="AY64" s="856">
        <f>'10.17.2 y 3 Publica y Gub.'!U42/1000</f>
        <v>102.369</v>
      </c>
      <c r="AZ64" s="856">
        <f>'10.17.2 y 3 Publica y Gub.'!V42/1000</f>
        <v>161.132</v>
      </c>
      <c r="BA64" s="856">
        <f>'10.17.2 y 3 Publica y Gub.'!W42/1000</f>
        <v>140.497</v>
      </c>
      <c r="BB64" s="856">
        <f>'10.17.2 y 3 Publica y Gub.'!X42/1000</f>
        <v>78.378</v>
      </c>
      <c r="BC64" s="856">
        <f>'10.17.2 y 3 Publica y Gub.'!Y42/1000</f>
        <v>86.343</v>
      </c>
      <c r="BD64" s="856">
        <f>'10.17.2 y 3 Publica y Gub.'!Z42/1000</f>
        <v>124.8981</v>
      </c>
    </row>
  </sheetData>
  <sheetProtection/>
  <mergeCells count="4">
    <mergeCell ref="B6:AA6"/>
    <mergeCell ref="B9:B10"/>
    <mergeCell ref="AJ11:AK11"/>
    <mergeCell ref="B25:AA25"/>
  </mergeCells>
  <printOptions horizontalCentered="1"/>
  <pageMargins left="0.7874015748031497" right="0.3937007874015748" top="0.9055118110236221" bottom="0.7086614173228347" header="0" footer="0"/>
  <pageSetup fitToHeight="3" horizontalDpi="600" verticalDpi="600" orientation="landscape" paperSize="9" scale="47" r:id="rId2"/>
  <rowBreaks count="2" manualBreakCount="2">
    <brk id="83" min="1" max="26" man="1"/>
    <brk id="157" min="1" max="26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B103"/>
  <sheetViews>
    <sheetView view="pageBreakPreview" zoomScaleNormal="85" zoomScaleSheetLayoutView="100" zoomScalePageLayoutView="0" workbookViewId="0" topLeftCell="I1">
      <selection activeCell="AP8" sqref="AP8"/>
    </sheetView>
  </sheetViews>
  <sheetFormatPr defaultColWidth="11.421875" defaultRowHeight="12.75"/>
  <cols>
    <col min="12" max="35" width="11.421875" style="0" hidden="1" customWidth="1"/>
    <col min="36" max="36" width="11.421875" style="0" customWidth="1"/>
    <col min="37" max="40" width="11.421875" style="1025" customWidth="1"/>
    <col min="41" max="41" width="17.140625" style="1025" customWidth="1"/>
    <col min="42" max="42" width="16.57421875" style="1025" customWidth="1"/>
    <col min="43" max="45" width="11.421875" style="1025" customWidth="1"/>
    <col min="46" max="46" width="15.140625" style="1025" customWidth="1"/>
    <col min="47" max="47" width="16.140625" style="1025" customWidth="1"/>
    <col min="48" max="50" width="11.421875" style="1025" customWidth="1"/>
    <col min="51" max="51" width="7.28125" style="1025" customWidth="1"/>
    <col min="52" max="53" width="11.421875" style="1025" customWidth="1"/>
  </cols>
  <sheetData>
    <row r="1" spans="1:54" ht="12.75">
      <c r="A1" s="613"/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  <c r="Q1" s="613"/>
      <c r="R1" s="613"/>
      <c r="S1" s="613"/>
      <c r="T1" s="613"/>
      <c r="U1" s="613"/>
      <c r="V1" s="613"/>
      <c r="W1" s="613"/>
      <c r="X1" s="613"/>
      <c r="Y1" s="613"/>
      <c r="Z1" s="613"/>
      <c r="AA1" s="613"/>
      <c r="AB1" s="613"/>
      <c r="AC1" s="613"/>
      <c r="AD1" s="613"/>
      <c r="AE1" s="613"/>
      <c r="AF1" s="613"/>
      <c r="AG1" s="613"/>
      <c r="AH1" s="613"/>
      <c r="AI1" s="613"/>
      <c r="AJ1" s="613"/>
      <c r="AK1" s="613"/>
      <c r="AL1" s="613"/>
      <c r="AM1" s="613"/>
      <c r="AN1" s="613"/>
      <c r="AO1" s="613"/>
      <c r="AP1" s="613"/>
      <c r="AQ1" s="613"/>
      <c r="AR1" s="613"/>
      <c r="AS1" s="613"/>
      <c r="AT1" s="613"/>
      <c r="AU1" s="613"/>
      <c r="AV1" s="613"/>
      <c r="AW1" s="613"/>
      <c r="AX1" s="613"/>
      <c r="AY1" s="613"/>
      <c r="AZ1" s="613"/>
      <c r="BA1" s="613"/>
      <c r="BB1" s="613"/>
    </row>
    <row r="2" spans="1:54" ht="12.75">
      <c r="A2" s="613"/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3"/>
      <c r="T2" s="613"/>
      <c r="U2" s="613"/>
      <c r="V2" s="613"/>
      <c r="W2" s="613"/>
      <c r="X2" s="613"/>
      <c r="Y2" s="613"/>
      <c r="Z2" s="613"/>
      <c r="AA2" s="613"/>
      <c r="AB2" s="613"/>
      <c r="AC2" s="613"/>
      <c r="AD2" s="613"/>
      <c r="AE2" s="613"/>
      <c r="AF2" s="613"/>
      <c r="AG2" s="613"/>
      <c r="AH2" s="613"/>
      <c r="AI2" s="613"/>
      <c r="AJ2" s="613"/>
      <c r="AK2" s="613"/>
      <c r="AL2" s="613"/>
      <c r="AM2" s="613"/>
      <c r="AN2" s="613"/>
      <c r="AO2" s="613"/>
      <c r="AP2" s="613"/>
      <c r="AQ2" s="613"/>
      <c r="AR2" s="613"/>
      <c r="AS2" s="613"/>
      <c r="AT2" s="613"/>
      <c r="AU2" s="613"/>
      <c r="AV2" s="613"/>
      <c r="AW2" s="613"/>
      <c r="AX2" s="613"/>
      <c r="AY2" s="613"/>
      <c r="AZ2" s="613"/>
      <c r="BA2" s="613"/>
      <c r="BB2" s="613"/>
    </row>
    <row r="3" spans="1:54" ht="12.75">
      <c r="A3" s="613"/>
      <c r="B3" s="613"/>
      <c r="C3" s="614"/>
      <c r="D3" s="614"/>
      <c r="E3" s="614"/>
      <c r="F3" s="614"/>
      <c r="G3" s="614"/>
      <c r="H3" s="614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3"/>
      <c r="T3" s="613"/>
      <c r="U3" s="613"/>
      <c r="V3" s="613"/>
      <c r="W3" s="613"/>
      <c r="X3" s="613"/>
      <c r="Y3" s="613"/>
      <c r="Z3" s="613"/>
      <c r="AA3" s="613"/>
      <c r="AB3" s="613"/>
      <c r="AC3" s="613"/>
      <c r="AD3" s="613"/>
      <c r="AE3" s="613"/>
      <c r="AF3" s="613"/>
      <c r="AG3" s="613"/>
      <c r="AH3" s="613"/>
      <c r="AI3" s="613"/>
      <c r="AJ3" s="613"/>
      <c r="AK3" s="613"/>
      <c r="AL3" s="613"/>
      <c r="AM3" s="613"/>
      <c r="AN3" s="613"/>
      <c r="AO3" s="613"/>
      <c r="AP3" s="613"/>
      <c r="AQ3" s="613"/>
      <c r="AR3" s="613"/>
      <c r="AS3" s="613"/>
      <c r="AT3" s="613"/>
      <c r="AU3" s="613"/>
      <c r="AV3" s="613"/>
      <c r="AW3" s="613"/>
      <c r="AX3" s="613"/>
      <c r="AY3" s="613"/>
      <c r="AZ3" s="613"/>
      <c r="BA3" s="613"/>
      <c r="BB3" s="613"/>
    </row>
    <row r="4" spans="1:54" ht="18">
      <c r="A4" s="613"/>
      <c r="B4" s="615" t="s">
        <v>253</v>
      </c>
      <c r="C4" s="616"/>
      <c r="D4" s="616"/>
      <c r="E4" s="616"/>
      <c r="F4" s="616"/>
      <c r="G4" s="616"/>
      <c r="H4" s="616"/>
      <c r="I4" s="613"/>
      <c r="J4" s="613"/>
      <c r="K4" s="613"/>
      <c r="L4" s="613"/>
      <c r="M4" s="613"/>
      <c r="N4" s="613"/>
      <c r="O4" s="613"/>
      <c r="P4" s="613"/>
      <c r="Q4" s="613"/>
      <c r="R4" s="613"/>
      <c r="S4" s="613"/>
      <c r="T4" s="613"/>
      <c r="U4" s="613"/>
      <c r="V4" s="613"/>
      <c r="W4" s="613"/>
      <c r="X4" s="613"/>
      <c r="Y4" s="613"/>
      <c r="Z4" s="613"/>
      <c r="AA4" s="613"/>
      <c r="AB4" s="613"/>
      <c r="AC4" s="613"/>
      <c r="AD4" s="613"/>
      <c r="AE4" s="613"/>
      <c r="AF4" s="613"/>
      <c r="AG4" s="613"/>
      <c r="AH4" s="613"/>
      <c r="AI4" s="613"/>
      <c r="AJ4" s="613"/>
      <c r="AK4" s="613"/>
      <c r="AL4" s="1026" t="s">
        <v>307</v>
      </c>
      <c r="AM4" s="613"/>
      <c r="AN4" s="613"/>
      <c r="AO4" s="613"/>
      <c r="AP4" s="613"/>
      <c r="AQ4" s="613"/>
      <c r="AR4" s="613"/>
      <c r="AS4" s="613"/>
      <c r="AT4" s="613"/>
      <c r="AZ4" s="613"/>
      <c r="BA4" s="613"/>
      <c r="BB4" s="613"/>
    </row>
    <row r="5" spans="1:54" ht="12.75">
      <c r="A5" s="613"/>
      <c r="B5" s="613"/>
      <c r="C5" s="613"/>
      <c r="D5" s="613"/>
      <c r="E5" s="613"/>
      <c r="F5" s="613"/>
      <c r="G5" s="613"/>
      <c r="H5" s="613"/>
      <c r="I5" s="613"/>
      <c r="J5" s="613"/>
      <c r="K5" s="613"/>
      <c r="L5" s="613"/>
      <c r="M5" s="617" t="s">
        <v>94</v>
      </c>
      <c r="N5" s="613"/>
      <c r="O5" s="613"/>
      <c r="P5" s="613"/>
      <c r="Q5" s="617" t="s">
        <v>95</v>
      </c>
      <c r="R5" s="613"/>
      <c r="S5" s="613"/>
      <c r="T5" s="613"/>
      <c r="U5" s="613"/>
      <c r="V5" s="617" t="s">
        <v>96</v>
      </c>
      <c r="W5" s="613"/>
      <c r="X5" s="613"/>
      <c r="Y5" s="613"/>
      <c r="Z5" s="613"/>
      <c r="AA5" s="613"/>
      <c r="AB5" s="613"/>
      <c r="AC5" s="613"/>
      <c r="AD5" s="613"/>
      <c r="AE5" s="613"/>
      <c r="AF5" s="613"/>
      <c r="AG5" s="613"/>
      <c r="AH5" s="613"/>
      <c r="AI5" s="613"/>
      <c r="AJ5" s="613"/>
      <c r="AK5" s="613"/>
      <c r="AL5" s="613"/>
      <c r="AM5" s="613"/>
      <c r="AN5" s="613"/>
      <c r="AO5" s="613"/>
      <c r="AP5" s="613"/>
      <c r="AQ5" s="613"/>
      <c r="AR5" s="613"/>
      <c r="AS5" s="613"/>
      <c r="AT5" s="613"/>
      <c r="AZ5" s="613"/>
      <c r="BA5" s="613"/>
      <c r="BB5" s="613"/>
    </row>
    <row r="6" spans="1:54" ht="12.75">
      <c r="A6" s="613"/>
      <c r="B6" s="613"/>
      <c r="C6" s="1184" t="s">
        <v>97</v>
      </c>
      <c r="D6" s="618"/>
      <c r="E6" s="618" t="s">
        <v>98</v>
      </c>
      <c r="F6" s="1184" t="s">
        <v>99</v>
      </c>
      <c r="G6" s="618" t="s">
        <v>98</v>
      </c>
      <c r="H6" s="619"/>
      <c r="I6" s="618" t="s">
        <v>100</v>
      </c>
      <c r="J6" s="618" t="s">
        <v>98</v>
      </c>
      <c r="K6" s="620"/>
      <c r="L6" s="620"/>
      <c r="M6" s="620" t="s">
        <v>101</v>
      </c>
      <c r="N6" s="620" t="s">
        <v>102</v>
      </c>
      <c r="O6" s="616" t="s">
        <v>103</v>
      </c>
      <c r="P6" s="613"/>
      <c r="Q6" s="617" t="s">
        <v>104</v>
      </c>
      <c r="R6" s="617" t="s">
        <v>105</v>
      </c>
      <c r="S6" s="617" t="s">
        <v>106</v>
      </c>
      <c r="T6" s="617" t="s">
        <v>102</v>
      </c>
      <c r="U6" s="613"/>
      <c r="V6" s="620" t="s">
        <v>107</v>
      </c>
      <c r="W6" s="620" t="s">
        <v>108</v>
      </c>
      <c r="X6" s="616" t="s">
        <v>109</v>
      </c>
      <c r="Y6" s="613"/>
      <c r="Z6" s="613"/>
      <c r="AA6" s="613"/>
      <c r="AB6" s="613"/>
      <c r="AC6" s="613"/>
      <c r="AD6" s="613"/>
      <c r="AE6" s="613"/>
      <c r="AF6" s="613"/>
      <c r="AG6" s="613"/>
      <c r="AH6" s="613"/>
      <c r="AI6" s="613"/>
      <c r="AJ6" s="613"/>
      <c r="AK6" s="613"/>
      <c r="AL6" s="613"/>
      <c r="AM6" s="613"/>
      <c r="AN6" s="613"/>
      <c r="AO6" s="613"/>
      <c r="AP6" s="613"/>
      <c r="AQ6" s="613"/>
      <c r="AR6" s="613"/>
      <c r="AS6" s="613"/>
      <c r="AT6" s="613"/>
      <c r="AZ6" s="613"/>
      <c r="BA6" s="613"/>
      <c r="BB6" s="613"/>
    </row>
    <row r="7" spans="1:54" ht="12.75">
      <c r="A7" s="613"/>
      <c r="B7" s="613"/>
      <c r="C7" s="1185"/>
      <c r="D7" s="621"/>
      <c r="E7" s="621" t="s">
        <v>110</v>
      </c>
      <c r="F7" s="1185"/>
      <c r="G7" s="621" t="s">
        <v>111</v>
      </c>
      <c r="H7" s="622"/>
      <c r="I7" s="621" t="s">
        <v>112</v>
      </c>
      <c r="J7" s="621" t="s">
        <v>112</v>
      </c>
      <c r="K7" s="620"/>
      <c r="L7" s="620"/>
      <c r="M7" s="620" t="s">
        <v>113</v>
      </c>
      <c r="N7" s="620" t="s">
        <v>113</v>
      </c>
      <c r="O7" s="620" t="s">
        <v>113</v>
      </c>
      <c r="P7" s="613"/>
      <c r="Q7" s="617" t="s">
        <v>114</v>
      </c>
      <c r="R7" s="617" t="s">
        <v>114</v>
      </c>
      <c r="S7" s="617" t="s">
        <v>114</v>
      </c>
      <c r="T7" s="617" t="s">
        <v>114</v>
      </c>
      <c r="U7" s="613"/>
      <c r="V7" s="620" t="s">
        <v>114</v>
      </c>
      <c r="W7" s="620" t="s">
        <v>114</v>
      </c>
      <c r="X7" s="620" t="s">
        <v>114</v>
      </c>
      <c r="Y7" s="613"/>
      <c r="Z7" s="613"/>
      <c r="AA7" s="613"/>
      <c r="AB7" s="613"/>
      <c r="AC7" s="613"/>
      <c r="AD7" s="613"/>
      <c r="AE7" s="613"/>
      <c r="AF7" s="613"/>
      <c r="AG7" s="613"/>
      <c r="AH7" s="613"/>
      <c r="AI7" s="613"/>
      <c r="AJ7" s="613"/>
      <c r="AK7" s="613"/>
      <c r="AL7" s="613"/>
      <c r="AM7" s="613"/>
      <c r="AN7" s="613"/>
      <c r="AO7" s="613"/>
      <c r="AP7" s="613"/>
      <c r="AQ7" s="613"/>
      <c r="AR7" s="613"/>
      <c r="AS7" s="613"/>
      <c r="AT7" s="613"/>
      <c r="AZ7" s="613"/>
      <c r="BA7" s="613"/>
      <c r="BB7" s="613"/>
    </row>
    <row r="8" spans="1:54" ht="12.75">
      <c r="A8" s="613"/>
      <c r="B8" s="1182">
        <v>2006</v>
      </c>
      <c r="C8" s="623" t="s">
        <v>115</v>
      </c>
      <c r="D8" s="623">
        <v>38718</v>
      </c>
      <c r="E8" s="624">
        <v>0.09745721069298835</v>
      </c>
      <c r="F8" s="625">
        <v>3.314</v>
      </c>
      <c r="G8" s="624">
        <v>0.02940772803047325</v>
      </c>
      <c r="H8" s="626"/>
      <c r="I8" s="627">
        <v>30.901376053108024</v>
      </c>
      <c r="J8" s="628">
        <v>29.40772803047325</v>
      </c>
      <c r="K8" s="629"/>
      <c r="L8" s="629"/>
      <c r="M8" s="630">
        <v>0.13410859</v>
      </c>
      <c r="N8" s="630">
        <v>0.09600591000000001</v>
      </c>
      <c r="O8" s="631">
        <v>0.10240716024</v>
      </c>
      <c r="P8" s="632"/>
      <c r="Q8" s="632">
        <v>38.69765365890804</v>
      </c>
      <c r="R8" s="632">
        <v>34.704840853677865</v>
      </c>
      <c r="S8" s="632">
        <v>16.498884912225765</v>
      </c>
      <c r="T8" s="632">
        <v>27.141338972923897</v>
      </c>
      <c r="U8" s="613"/>
      <c r="V8" s="633">
        <v>40.467287266143636</v>
      </c>
      <c r="W8" s="633">
        <v>28.969797827398917</v>
      </c>
      <c r="X8" s="633">
        <v>30.901376053108027</v>
      </c>
      <c r="Y8" s="613"/>
      <c r="Z8" s="613"/>
      <c r="AA8" s="613"/>
      <c r="AB8" s="613"/>
      <c r="AC8" s="613"/>
      <c r="AD8" s="613"/>
      <c r="AE8" s="613"/>
      <c r="AF8" s="613"/>
      <c r="AG8" s="613"/>
      <c r="AH8" s="613"/>
      <c r="AI8" s="613"/>
      <c r="AJ8" s="613"/>
      <c r="AK8" s="613"/>
      <c r="AL8" s="613"/>
      <c r="AM8" s="613"/>
      <c r="AS8" s="613"/>
      <c r="AT8" s="613"/>
      <c r="AZ8" s="613"/>
      <c r="BA8" s="613"/>
      <c r="BB8" s="613"/>
    </row>
    <row r="9" spans="1:54" ht="12.75">
      <c r="A9" s="613"/>
      <c r="B9" s="1182"/>
      <c r="C9" s="623" t="s">
        <v>120</v>
      </c>
      <c r="D9" s="623"/>
      <c r="E9" s="624">
        <v>0.12639009529168416</v>
      </c>
      <c r="F9" s="625">
        <v>3.293</v>
      </c>
      <c r="G9" s="624">
        <v>0.038381444060638974</v>
      </c>
      <c r="H9" s="626"/>
      <c r="I9" s="627">
        <v>30.788158530649426</v>
      </c>
      <c r="J9" s="628">
        <v>38.38144406063898</v>
      </c>
      <c r="K9" s="629"/>
      <c r="L9" s="629"/>
      <c r="M9" s="630">
        <v>0.13222592035714287</v>
      </c>
      <c r="N9" s="630">
        <v>0.09466134749999999</v>
      </c>
      <c r="O9" s="631">
        <v>0.10138540604142857</v>
      </c>
      <c r="P9" s="632"/>
      <c r="Q9" s="632">
        <v>59.326060931089884</v>
      </c>
      <c r="R9" s="632">
        <v>47.61646065896959</v>
      </c>
      <c r="S9" s="632">
        <v>12.995887652430088</v>
      </c>
      <c r="T9" s="632">
        <v>33.20853667686014</v>
      </c>
      <c r="U9" s="613"/>
      <c r="V9" s="633">
        <v>40.153635091753074</v>
      </c>
      <c r="W9" s="633">
        <v>28.74623367749772</v>
      </c>
      <c r="X9" s="633">
        <v>30.788158530649426</v>
      </c>
      <c r="Y9" s="613"/>
      <c r="Z9" s="613"/>
      <c r="AA9" s="613"/>
      <c r="AB9" s="613">
        <v>2006</v>
      </c>
      <c r="AC9" s="613">
        <v>29.66864490930484</v>
      </c>
      <c r="AD9" s="613">
        <v>68.10256518918492</v>
      </c>
      <c r="AE9" s="613"/>
      <c r="AF9" s="613"/>
      <c r="AG9" s="613"/>
      <c r="AH9" s="613"/>
      <c r="AI9" s="613"/>
      <c r="AJ9" s="613"/>
      <c r="AK9" s="613"/>
      <c r="AL9" s="613"/>
      <c r="AM9" s="613"/>
      <c r="AS9" s="613"/>
      <c r="AT9" s="613"/>
      <c r="AU9" s="613"/>
      <c r="AV9" s="613"/>
      <c r="AW9" s="613"/>
      <c r="AX9" s="613"/>
      <c r="AY9" s="613"/>
      <c r="AZ9" s="613"/>
      <c r="BA9" s="613"/>
      <c r="BB9" s="613"/>
    </row>
    <row r="10" spans="1:54" ht="12.75">
      <c r="A10" s="613"/>
      <c r="B10" s="1182"/>
      <c r="C10" s="623" t="s">
        <v>124</v>
      </c>
      <c r="D10" s="623">
        <v>38777</v>
      </c>
      <c r="E10" s="624">
        <v>0.08080583027717839</v>
      </c>
      <c r="F10" s="625">
        <v>3.358</v>
      </c>
      <c r="G10" s="624">
        <v>0.024063677866938173</v>
      </c>
      <c r="H10" s="626"/>
      <c r="I10" s="627">
        <v>30.163043478260867</v>
      </c>
      <c r="J10" s="628">
        <v>24.06367786693817</v>
      </c>
      <c r="K10" s="629"/>
      <c r="L10" s="629"/>
      <c r="M10" s="630">
        <v>0.132</v>
      </c>
      <c r="N10" s="630">
        <v>0.0945</v>
      </c>
      <c r="O10" s="631">
        <v>0.10128749999999999</v>
      </c>
      <c r="P10" s="632"/>
      <c r="Q10" s="632">
        <v>38.753500734145526</v>
      </c>
      <c r="R10" s="632">
        <v>30.524414414716762</v>
      </c>
      <c r="S10" s="632">
        <v>6.143078524799099</v>
      </c>
      <c r="T10" s="632">
        <v>20.34271089040926</v>
      </c>
      <c r="U10" s="613"/>
      <c r="V10" s="633">
        <v>39.30911256700417</v>
      </c>
      <c r="W10" s="633">
        <v>28.141751042287076</v>
      </c>
      <c r="X10" s="633">
        <v>30.163043478260864</v>
      </c>
      <c r="Y10" s="613"/>
      <c r="Z10" s="613"/>
      <c r="AA10" s="613"/>
      <c r="AB10" s="613">
        <v>2007</v>
      </c>
      <c r="AC10" s="613">
        <v>29.720650467870687</v>
      </c>
      <c r="AD10" s="613">
        <v>38.34210568955644</v>
      </c>
      <c r="AE10" s="638">
        <f aca="true" t="shared" si="0" ref="AE10:AF15">+AC10/AC9-1</f>
        <v>0.0017528794700540917</v>
      </c>
      <c r="AF10" s="638">
        <f t="shared" si="0"/>
        <v>-0.43699469200544316</v>
      </c>
      <c r="AG10" s="613"/>
      <c r="AH10" s="613"/>
      <c r="AI10" s="613"/>
      <c r="AJ10" s="613"/>
      <c r="AK10" s="613"/>
      <c r="AL10" s="613"/>
      <c r="AM10" s="613"/>
      <c r="AS10" s="613"/>
      <c r="AT10" s="613"/>
      <c r="AU10" s="613"/>
      <c r="AV10" s="613"/>
      <c r="AW10" s="613"/>
      <c r="AX10" s="613"/>
      <c r="AY10" s="613"/>
      <c r="AZ10" s="613"/>
      <c r="BA10" s="613"/>
      <c r="BB10" s="613"/>
    </row>
    <row r="11" spans="1:54" ht="12.75">
      <c r="A11" s="613"/>
      <c r="B11" s="1182"/>
      <c r="C11" s="623" t="s">
        <v>125</v>
      </c>
      <c r="D11" s="623"/>
      <c r="E11" s="624">
        <v>0.12807494669647956</v>
      </c>
      <c r="F11" s="625">
        <v>3.312</v>
      </c>
      <c r="G11" s="624">
        <v>0.03866997182864721</v>
      </c>
      <c r="H11" s="626"/>
      <c r="I11" s="627">
        <v>30.344202898550723</v>
      </c>
      <c r="J11" s="628">
        <v>38.66997182864721</v>
      </c>
      <c r="K11" s="629"/>
      <c r="L11" s="629"/>
      <c r="M11" s="630">
        <v>0.132</v>
      </c>
      <c r="N11" s="630">
        <v>0.0945</v>
      </c>
      <c r="O11" s="631">
        <v>0.10049999999999999</v>
      </c>
      <c r="P11" s="632"/>
      <c r="Q11" s="632">
        <v>75.80590088581906</v>
      </c>
      <c r="R11" s="632">
        <v>44.33604756592756</v>
      </c>
      <c r="S11" s="632">
        <v>10.37900007399412</v>
      </c>
      <c r="T11" s="632">
        <v>30.423545217470256</v>
      </c>
      <c r="U11" s="613"/>
      <c r="V11" s="633">
        <v>39.85507246376812</v>
      </c>
      <c r="W11" s="633">
        <v>28.532608695652176</v>
      </c>
      <c r="X11" s="633">
        <v>30.344202898550723</v>
      </c>
      <c r="Y11" s="613"/>
      <c r="Z11" s="613"/>
      <c r="AA11" s="613"/>
      <c r="AB11" s="613">
        <v>2008</v>
      </c>
      <c r="AC11" s="613">
        <v>32.42206367506416</v>
      </c>
      <c r="AD11" s="613">
        <v>91.87231338017166</v>
      </c>
      <c r="AE11" s="638">
        <f t="shared" si="0"/>
        <v>0.09089347523244196</v>
      </c>
      <c r="AF11" s="638">
        <f t="shared" si="0"/>
        <v>1.3961207066724999</v>
      </c>
      <c r="AG11" s="613"/>
      <c r="AH11" s="613"/>
      <c r="AI11" s="613"/>
      <c r="AJ11" s="613"/>
      <c r="AK11" s="613"/>
      <c r="AL11" s="613"/>
      <c r="AM11" s="613"/>
      <c r="AS11" s="613"/>
      <c r="AT11" s="613"/>
      <c r="AU11" s="613"/>
      <c r="AV11" s="613"/>
      <c r="AW11" s="613"/>
      <c r="AX11" s="613"/>
      <c r="AY11" s="613"/>
      <c r="AZ11" s="613"/>
      <c r="BA11" s="613"/>
      <c r="BB11" s="613"/>
    </row>
    <row r="12" spans="1:54" ht="12.75">
      <c r="A12" s="613"/>
      <c r="B12" s="1182"/>
      <c r="C12" s="623" t="s">
        <v>126</v>
      </c>
      <c r="D12" s="623">
        <v>38838</v>
      </c>
      <c r="E12" s="624">
        <v>0.3657487828198081</v>
      </c>
      <c r="F12" s="625">
        <v>3.2933</v>
      </c>
      <c r="G12" s="624">
        <v>0.11105844679191332</v>
      </c>
      <c r="H12" s="626"/>
      <c r="I12" s="627">
        <v>29.25181428961832</v>
      </c>
      <c r="J12" s="628">
        <v>111.05844679191331</v>
      </c>
      <c r="K12" s="629"/>
      <c r="L12" s="629"/>
      <c r="M12" s="630">
        <v>0.11960000000000001</v>
      </c>
      <c r="N12" s="630">
        <v>0.09140000000000001</v>
      </c>
      <c r="O12" s="631">
        <v>0.096335</v>
      </c>
      <c r="P12" s="632"/>
      <c r="Q12" s="632">
        <v>131.02692118349276</v>
      </c>
      <c r="R12" s="632">
        <v>116.25349177027636</v>
      </c>
      <c r="S12" s="632">
        <v>91.90686008032755</v>
      </c>
      <c r="T12" s="632">
        <v>106.14083428030759</v>
      </c>
      <c r="U12" s="613"/>
      <c r="V12" s="633">
        <v>36.316157046123955</v>
      </c>
      <c r="W12" s="633">
        <v>27.75331734126864</v>
      </c>
      <c r="X12" s="633">
        <v>29.251814289618316</v>
      </c>
      <c r="Y12" s="613"/>
      <c r="Z12" s="613"/>
      <c r="AA12" s="613"/>
      <c r="AB12" s="613">
        <v>2009</v>
      </c>
      <c r="AC12" s="613">
        <v>32.40683539383786</v>
      </c>
      <c r="AD12" s="613">
        <v>32.20189757496102</v>
      </c>
      <c r="AE12" s="638">
        <f t="shared" si="0"/>
        <v>-0.00046968883223841296</v>
      </c>
      <c r="AF12" s="638">
        <f t="shared" si="0"/>
        <v>-0.6494929060759779</v>
      </c>
      <c r="AG12" s="613"/>
      <c r="AH12" s="613"/>
      <c r="AI12" s="613"/>
      <c r="AJ12" s="613"/>
      <c r="AK12" s="613"/>
      <c r="AL12" s="613"/>
      <c r="AM12" s="613"/>
      <c r="AS12" s="613"/>
      <c r="AT12" s="613"/>
      <c r="AU12" s="613"/>
      <c r="AV12" s="613"/>
      <c r="AW12" s="613"/>
      <c r="AX12" s="613"/>
      <c r="AY12" s="613"/>
      <c r="AZ12" s="613"/>
      <c r="BA12" s="613"/>
      <c r="BB12" s="613"/>
    </row>
    <row r="13" spans="1:54" ht="12.75">
      <c r="A13" s="613"/>
      <c r="B13" s="1182"/>
      <c r="C13" s="623" t="s">
        <v>127</v>
      </c>
      <c r="D13" s="623"/>
      <c r="E13" s="624">
        <v>0.286640143090037</v>
      </c>
      <c r="F13" s="625">
        <v>3.26</v>
      </c>
      <c r="G13" s="624">
        <v>0.08792642426074755</v>
      </c>
      <c r="H13" s="626"/>
      <c r="I13" s="627">
        <v>29.54196319018405</v>
      </c>
      <c r="J13" s="628">
        <v>87.92642426074755</v>
      </c>
      <c r="K13" s="629"/>
      <c r="L13" s="629"/>
      <c r="M13" s="630">
        <v>0.11960000000000001</v>
      </c>
      <c r="N13" s="630">
        <v>0.09140000000000001</v>
      </c>
      <c r="O13" s="631">
        <v>0.0963068</v>
      </c>
      <c r="P13" s="632"/>
      <c r="Q13" s="632">
        <v>102.55878276092687</v>
      </c>
      <c r="R13" s="632">
        <v>91.96587719375808</v>
      </c>
      <c r="S13" s="632">
        <v>73.6465905117936</v>
      </c>
      <c r="T13" s="632">
        <v>84.37314308214613</v>
      </c>
      <c r="U13" s="613"/>
      <c r="V13" s="633">
        <v>36.68711656441719</v>
      </c>
      <c r="W13" s="633">
        <v>28.036809815950924</v>
      </c>
      <c r="X13" s="633">
        <v>29.54196319018405</v>
      </c>
      <c r="Y13" s="613"/>
      <c r="Z13" s="613"/>
      <c r="AA13" s="613"/>
      <c r="AB13" s="613">
        <v>2010</v>
      </c>
      <c r="AC13" s="613">
        <v>30.011656494435186</v>
      </c>
      <c r="AD13" s="613">
        <v>21.464197878491575</v>
      </c>
      <c r="AE13" s="638">
        <f t="shared" si="0"/>
        <v>-0.07390968202523451</v>
      </c>
      <c r="AF13" s="638">
        <f t="shared" si="0"/>
        <v>-0.33344928420673814</v>
      </c>
      <c r="AG13" s="613"/>
      <c r="AH13" s="613"/>
      <c r="AI13" s="613"/>
      <c r="AJ13" s="613"/>
      <c r="AK13" s="613"/>
      <c r="AL13" s="613"/>
      <c r="AM13" s="613"/>
      <c r="AS13" s="613"/>
      <c r="AT13" s="613"/>
      <c r="AU13" s="613"/>
      <c r="AV13" s="613"/>
      <c r="AW13" s="613"/>
      <c r="AX13" s="613"/>
      <c r="AY13" s="613"/>
      <c r="AZ13" s="613"/>
      <c r="BA13" s="613"/>
      <c r="BB13" s="613"/>
    </row>
    <row r="14" spans="1:54" ht="12.75">
      <c r="A14" s="613"/>
      <c r="B14" s="1182"/>
      <c r="C14" s="623" t="s">
        <v>128</v>
      </c>
      <c r="D14" s="623">
        <v>38899</v>
      </c>
      <c r="E14" s="624">
        <v>0.29388779349929317</v>
      </c>
      <c r="F14" s="625">
        <v>3.242</v>
      </c>
      <c r="G14" s="624">
        <v>0.0906501522206333</v>
      </c>
      <c r="H14" s="626"/>
      <c r="I14" s="627">
        <v>29.592905613818633</v>
      </c>
      <c r="J14" s="628">
        <v>90.6501522206333</v>
      </c>
      <c r="K14" s="629"/>
      <c r="L14" s="629"/>
      <c r="M14" s="630">
        <v>0.11960000000000001</v>
      </c>
      <c r="N14" s="630">
        <v>0.09140000000000001</v>
      </c>
      <c r="O14" s="631">
        <v>0.0959402</v>
      </c>
      <c r="P14" s="632"/>
      <c r="Q14" s="632">
        <v>110.23382286108061</v>
      </c>
      <c r="R14" s="632">
        <v>96.57509616012517</v>
      </c>
      <c r="S14" s="632">
        <v>74.05548583234027</v>
      </c>
      <c r="T14" s="632">
        <v>84.84159359895014</v>
      </c>
      <c r="U14" s="613"/>
      <c r="V14" s="633">
        <v>36.89080814312153</v>
      </c>
      <c r="W14" s="633">
        <v>28.19247378161629</v>
      </c>
      <c r="X14" s="633">
        <v>29.59290561381863</v>
      </c>
      <c r="Y14" s="613"/>
      <c r="Z14" s="613"/>
      <c r="AA14" s="613"/>
      <c r="AB14" s="613">
        <v>2011</v>
      </c>
      <c r="AC14" s="613">
        <v>33.16769010500328</v>
      </c>
      <c r="AD14" s="613">
        <v>23.857642302848493</v>
      </c>
      <c r="AE14" s="638">
        <f t="shared" si="0"/>
        <v>0.1051602603526165</v>
      </c>
      <c r="AF14" s="638">
        <f t="shared" si="0"/>
        <v>0.11150868240714895</v>
      </c>
      <c r="AG14" s="613">
        <f>+AC14/AC13-1</f>
        <v>0.1051602603526165</v>
      </c>
      <c r="AH14" s="613">
        <f>1+AG14</f>
        <v>1.1051602603526165</v>
      </c>
      <c r="AI14" s="613"/>
      <c r="AJ14" s="613"/>
      <c r="AK14" s="613"/>
      <c r="AL14" s="613"/>
      <c r="AM14" s="613"/>
      <c r="AS14" s="613"/>
      <c r="AT14" s="613"/>
      <c r="AU14" s="613"/>
      <c r="AV14" s="613"/>
      <c r="AW14" s="613"/>
      <c r="AX14" s="613"/>
      <c r="AY14" s="613"/>
      <c r="AZ14" s="613"/>
      <c r="BA14" s="613"/>
      <c r="BB14" s="613"/>
    </row>
    <row r="15" spans="1:54" ht="12.75">
      <c r="A15" s="613"/>
      <c r="B15" s="1182"/>
      <c r="C15" s="623" t="s">
        <v>129</v>
      </c>
      <c r="D15" s="623"/>
      <c r="E15" s="624">
        <v>0.34327919081008</v>
      </c>
      <c r="F15" s="625">
        <v>3.241</v>
      </c>
      <c r="G15" s="624">
        <v>0.10591767689295896</v>
      </c>
      <c r="H15" s="626"/>
      <c r="I15" s="627">
        <v>29.723850663375504</v>
      </c>
      <c r="J15" s="628">
        <v>105.91767689295897</v>
      </c>
      <c r="K15" s="629"/>
      <c r="L15" s="629"/>
      <c r="M15" s="630">
        <v>0.11960000000000001</v>
      </c>
      <c r="N15" s="630">
        <v>0.09140000000000001</v>
      </c>
      <c r="O15" s="631">
        <v>0.096335</v>
      </c>
      <c r="P15" s="632"/>
      <c r="Q15" s="632">
        <v>118.23580553117377</v>
      </c>
      <c r="R15" s="632">
        <v>117.77698098157893</v>
      </c>
      <c r="S15" s="632">
        <v>81.8356115536674</v>
      </c>
      <c r="T15" s="632">
        <v>102.90896723214472</v>
      </c>
      <c r="U15" s="613"/>
      <c r="V15" s="633">
        <v>36.902190681888314</v>
      </c>
      <c r="W15" s="633">
        <v>28.20117247763036</v>
      </c>
      <c r="X15" s="633">
        <v>29.7238506633755</v>
      </c>
      <c r="Y15" s="613"/>
      <c r="Z15" s="613"/>
      <c r="AA15" s="613"/>
      <c r="AB15" s="613">
        <v>2012</v>
      </c>
      <c r="AC15" s="613">
        <v>39.002663089805004</v>
      </c>
      <c r="AD15" s="613">
        <v>30.679836970693586</v>
      </c>
      <c r="AE15" s="638">
        <f t="shared" si="0"/>
        <v>0.17592340516717297</v>
      </c>
      <c r="AF15" s="638">
        <f t="shared" si="0"/>
        <v>0.28595426912870403</v>
      </c>
      <c r="AG15" s="613">
        <f>+AC15/AC14-1</f>
        <v>0.17592340516717297</v>
      </c>
      <c r="AH15" s="613">
        <f>1+AG15</f>
        <v>1.175923405167173</v>
      </c>
      <c r="AI15" s="613"/>
      <c r="AJ15" s="613"/>
      <c r="AK15" s="613"/>
      <c r="AL15" s="613"/>
      <c r="AM15" s="613"/>
      <c r="AN15" s="613"/>
      <c r="AO15" s="613"/>
      <c r="AP15" s="613"/>
      <c r="AQ15" s="613"/>
      <c r="AR15" s="613"/>
      <c r="AS15" s="613"/>
      <c r="AT15" s="613"/>
      <c r="AU15" s="613"/>
      <c r="AV15" s="613"/>
      <c r="AW15" s="613"/>
      <c r="AX15" s="613"/>
      <c r="AY15" s="613"/>
      <c r="AZ15" s="613"/>
      <c r="BA15" s="613"/>
      <c r="BB15" s="613"/>
    </row>
    <row r="16" spans="1:54" ht="12.75">
      <c r="A16" s="613"/>
      <c r="B16" s="1182"/>
      <c r="C16" s="623" t="s">
        <v>130</v>
      </c>
      <c r="D16" s="623">
        <v>38961</v>
      </c>
      <c r="E16" s="624">
        <v>0.48686454113055805</v>
      </c>
      <c r="F16" s="625">
        <v>3.25</v>
      </c>
      <c r="G16" s="624">
        <v>0.14980447419401785</v>
      </c>
      <c r="H16" s="626"/>
      <c r="I16" s="627">
        <v>29.693600000000004</v>
      </c>
      <c r="J16" s="628">
        <v>149.80447419401784</v>
      </c>
      <c r="K16" s="629"/>
      <c r="L16" s="629"/>
      <c r="M16" s="630">
        <v>0.11960000000000001</v>
      </c>
      <c r="N16" s="630">
        <v>0.09140000000000001</v>
      </c>
      <c r="O16" s="631">
        <v>0.09650420000000001</v>
      </c>
      <c r="P16" s="632"/>
      <c r="Q16" s="632">
        <v>165.14241426202506</v>
      </c>
      <c r="R16" s="632">
        <v>159.25845283913262</v>
      </c>
      <c r="S16" s="632">
        <v>127.42503924158083</v>
      </c>
      <c r="T16" s="632">
        <v>145.89430242190153</v>
      </c>
      <c r="U16" s="613"/>
      <c r="V16" s="633">
        <v>36.8</v>
      </c>
      <c r="W16" s="633">
        <v>28.123076923076923</v>
      </c>
      <c r="X16" s="633">
        <v>29.693600000000004</v>
      </c>
      <c r="Y16" s="613"/>
      <c r="Z16" s="613"/>
      <c r="AA16" s="613"/>
      <c r="AB16" s="613">
        <v>2013</v>
      </c>
      <c r="AC16" s="613">
        <v>40.201477951647206</v>
      </c>
      <c r="AD16" s="613">
        <v>26.5187104174116</v>
      </c>
      <c r="AE16" s="638">
        <f>+AC16/AC15-1</f>
        <v>0.03073674377264668</v>
      </c>
      <c r="AF16" s="638">
        <f>+AD16/AD15-1</f>
        <v>-0.13563066052980766</v>
      </c>
      <c r="AG16" s="613">
        <f>+AC16/AC15-1</f>
        <v>0.03073674377264668</v>
      </c>
      <c r="AH16" s="613">
        <f>1+AG16</f>
        <v>1.0307367437726467</v>
      </c>
      <c r="AI16" s="613"/>
      <c r="AJ16" s="613"/>
      <c r="AK16" s="613"/>
      <c r="AL16" s="613"/>
      <c r="AM16" s="613"/>
      <c r="AN16" s="613"/>
      <c r="AO16" s="613"/>
      <c r="AP16" s="613"/>
      <c r="AQ16" s="613"/>
      <c r="AR16" s="613"/>
      <c r="AS16" s="613"/>
      <c r="AT16" s="613"/>
      <c r="AU16" s="613"/>
      <c r="AV16" s="613"/>
      <c r="AW16" s="613"/>
      <c r="AX16" s="613"/>
      <c r="AY16" s="613"/>
      <c r="AZ16" s="613"/>
      <c r="BA16" s="613"/>
      <c r="BB16" s="613"/>
    </row>
    <row r="17" spans="1:54" ht="12.75">
      <c r="A17" s="613"/>
      <c r="B17" s="1182"/>
      <c r="C17" s="623" t="s">
        <v>131</v>
      </c>
      <c r="D17" s="623"/>
      <c r="E17" s="624">
        <v>0.23120895428681437</v>
      </c>
      <c r="F17" s="625">
        <v>3.216</v>
      </c>
      <c r="G17" s="624">
        <v>0.07189333155684526</v>
      </c>
      <c r="H17" s="626"/>
      <c r="I17" s="627">
        <v>29.954912935323385</v>
      </c>
      <c r="J17" s="628">
        <v>71.89333155684525</v>
      </c>
      <c r="K17" s="629"/>
      <c r="L17" s="629"/>
      <c r="M17" s="630">
        <v>0.11960000000000001</v>
      </c>
      <c r="N17" s="630">
        <v>0.09140000000000001</v>
      </c>
      <c r="O17" s="631">
        <v>0.096335</v>
      </c>
      <c r="P17" s="632"/>
      <c r="Q17" s="632">
        <v>104.96716793964137</v>
      </c>
      <c r="R17" s="632">
        <v>78.48220902774763</v>
      </c>
      <c r="S17" s="632">
        <v>43.191381916626156</v>
      </c>
      <c r="T17" s="632">
        <v>63.80053642538641</v>
      </c>
      <c r="U17" s="613"/>
      <c r="V17" s="633">
        <v>37.18905472636816</v>
      </c>
      <c r="W17" s="633">
        <v>28.420398009950247</v>
      </c>
      <c r="X17" s="633">
        <v>29.95491293532338</v>
      </c>
      <c r="Y17" s="613"/>
      <c r="Z17" s="613"/>
      <c r="AA17" s="613"/>
      <c r="AB17" s="613"/>
      <c r="AC17" s="613"/>
      <c r="AD17" s="613"/>
      <c r="AE17" s="613"/>
      <c r="AF17" s="613"/>
      <c r="AG17" s="613"/>
      <c r="AH17" s="613">
        <f>+PRODUCT(AH14:AH16)^(1/3)-1</f>
        <v>0.10234452865449817</v>
      </c>
      <c r="AI17" s="613"/>
      <c r="AJ17" s="613"/>
      <c r="AK17" s="613"/>
      <c r="AL17" s="613"/>
      <c r="AM17" s="613"/>
      <c r="AN17" s="613"/>
      <c r="AO17" s="613"/>
      <c r="AP17" s="613"/>
      <c r="AQ17" s="613"/>
      <c r="AR17" s="613"/>
      <c r="AS17" s="613"/>
      <c r="AT17" s="613"/>
      <c r="AU17" s="613"/>
      <c r="AV17" s="613"/>
      <c r="AW17" s="613"/>
      <c r="AX17" s="613"/>
      <c r="AY17" s="613"/>
      <c r="AZ17" s="613"/>
      <c r="BA17" s="613"/>
      <c r="BB17" s="613"/>
    </row>
    <row r="18" spans="1:54" ht="12.75">
      <c r="A18" s="613"/>
      <c r="B18" s="1182"/>
      <c r="C18" s="623" t="s">
        <v>132</v>
      </c>
      <c r="D18" s="623">
        <v>39022</v>
      </c>
      <c r="E18" s="627">
        <v>0.13081170576721798</v>
      </c>
      <c r="F18" s="627">
        <v>3.223</v>
      </c>
      <c r="G18" s="627">
        <v>0.04058693942513745</v>
      </c>
      <c r="H18" s="627"/>
      <c r="I18" s="627">
        <v>27.964788681352772</v>
      </c>
      <c r="J18" s="627">
        <v>40.58693942513745</v>
      </c>
      <c r="K18" s="644"/>
      <c r="L18" s="644"/>
      <c r="M18" s="644">
        <v>0.10822824</v>
      </c>
      <c r="N18" s="644">
        <v>0.08631816</v>
      </c>
      <c r="O18" s="645">
        <v>0.09013051391999999</v>
      </c>
      <c r="P18" s="646"/>
      <c r="Q18" s="646">
        <v>60.61821291664199</v>
      </c>
      <c r="R18" s="646">
        <v>48.256655879549704</v>
      </c>
      <c r="S18" s="646">
        <v>18.20420878085922</v>
      </c>
      <c r="T18" s="646">
        <v>35.73647736869842</v>
      </c>
      <c r="U18" s="646"/>
      <c r="V18" s="646">
        <v>33.579968973006515</v>
      </c>
      <c r="W18" s="646">
        <v>26.781929878994728</v>
      </c>
      <c r="X18" s="646">
        <v>27.964788681352772</v>
      </c>
      <c r="Y18" s="613"/>
      <c r="Z18" s="613"/>
      <c r="AA18" s="613"/>
      <c r="AB18" s="613"/>
      <c r="AC18" s="613"/>
      <c r="AD18" s="613"/>
      <c r="AE18" s="613"/>
      <c r="AF18" s="613"/>
      <c r="AG18" s="613"/>
      <c r="AH18" s="613"/>
      <c r="AI18" s="613"/>
      <c r="AJ18" s="613"/>
      <c r="AK18" s="613"/>
      <c r="AL18" s="613"/>
      <c r="AM18" s="613"/>
      <c r="AN18" s="613"/>
      <c r="AO18" s="613"/>
      <c r="AP18" s="613"/>
      <c r="AQ18" s="613"/>
      <c r="AR18" s="613"/>
      <c r="AS18" s="613"/>
      <c r="AT18" s="613"/>
      <c r="AU18" s="613"/>
      <c r="AV18" s="613"/>
      <c r="AW18" s="613"/>
      <c r="AX18" s="613"/>
      <c r="AY18" s="613"/>
      <c r="AZ18" s="613"/>
      <c r="BA18" s="613"/>
      <c r="BB18" s="613"/>
    </row>
    <row r="19" spans="1:54" ht="13.5" thickBot="1">
      <c r="A19" s="613"/>
      <c r="B19" s="1183"/>
      <c r="C19" s="647" t="s">
        <v>133</v>
      </c>
      <c r="D19" s="647"/>
      <c r="E19" s="648">
        <v>0.09229903690663281</v>
      </c>
      <c r="F19" s="648">
        <v>3.197</v>
      </c>
      <c r="G19" s="648">
        <v>0.02887051514126769</v>
      </c>
      <c r="H19" s="648"/>
      <c r="I19" s="648">
        <v>28.103122577416325</v>
      </c>
      <c r="J19" s="648">
        <v>28.870515141267692</v>
      </c>
      <c r="K19" s="649"/>
      <c r="L19" s="649"/>
      <c r="M19" s="649">
        <v>0.10822824</v>
      </c>
      <c r="N19" s="649">
        <v>0.08631816</v>
      </c>
      <c r="O19" s="649">
        <v>0.08984568288</v>
      </c>
      <c r="P19" s="649"/>
      <c r="Q19" s="649">
        <v>51.14939151497402</v>
      </c>
      <c r="R19" s="649">
        <v>31.464390379331387</v>
      </c>
      <c r="S19" s="649">
        <v>12.949207698739148</v>
      </c>
      <c r="T19" s="649">
        <v>23.85799178113937</v>
      </c>
      <c r="U19" s="649"/>
      <c r="V19" s="649">
        <v>33.85306224585549</v>
      </c>
      <c r="W19" s="649">
        <v>26.999737253675324</v>
      </c>
      <c r="X19" s="649">
        <v>28.10312257741633</v>
      </c>
      <c r="Y19" s="650"/>
      <c r="Z19" s="651"/>
      <c r="AA19" s="651"/>
      <c r="AB19" s="651"/>
      <c r="AC19" s="651"/>
      <c r="AD19" s="651"/>
      <c r="AE19" s="651"/>
      <c r="AF19" s="651"/>
      <c r="AG19" s="651"/>
      <c r="AH19" s="651"/>
      <c r="AI19" s="651"/>
      <c r="AJ19" s="651"/>
      <c r="AK19" s="651"/>
      <c r="AL19" s="651"/>
      <c r="AM19" s="613"/>
      <c r="AN19" s="613"/>
      <c r="AO19" s="613"/>
      <c r="AP19" s="613"/>
      <c r="AQ19" s="613"/>
      <c r="AR19" s="613"/>
      <c r="AS19" s="613"/>
      <c r="AT19" s="613"/>
      <c r="AU19" s="613"/>
      <c r="AV19" s="613"/>
      <c r="AW19" s="613"/>
      <c r="AX19" s="613"/>
      <c r="AY19" s="613"/>
      <c r="AZ19" s="613"/>
      <c r="BA19" s="613"/>
      <c r="BB19" s="613"/>
    </row>
    <row r="20" spans="1:54" ht="12.75">
      <c r="A20" s="613"/>
      <c r="B20" s="1181">
        <v>2007</v>
      </c>
      <c r="C20" s="652" t="s">
        <v>115</v>
      </c>
      <c r="D20" s="652">
        <v>39083</v>
      </c>
      <c r="E20" s="653">
        <v>0.0799801086001232</v>
      </c>
      <c r="F20" s="653">
        <v>3.199</v>
      </c>
      <c r="G20" s="653">
        <v>0.02500159693658118</v>
      </c>
      <c r="H20" s="653"/>
      <c r="I20" s="653">
        <v>28.13349591747421</v>
      </c>
      <c r="J20" s="653">
        <v>25.00159693658118</v>
      </c>
      <c r="K20" s="649"/>
      <c r="L20" s="649"/>
      <c r="M20" s="649">
        <v>0.10822824</v>
      </c>
      <c r="N20" s="649">
        <v>0.08631816</v>
      </c>
      <c r="O20" s="649">
        <v>0.08999905344</v>
      </c>
      <c r="P20" s="649"/>
      <c r="Q20" s="649">
        <v>49.27608301884352</v>
      </c>
      <c r="R20" s="649">
        <v>30.176181266636398</v>
      </c>
      <c r="S20" s="649">
        <v>3.4465095628920426</v>
      </c>
      <c r="T20" s="649">
        <v>19.09680934303986</v>
      </c>
      <c r="U20" s="649"/>
      <c r="V20" s="649">
        <v>33.83189746795874</v>
      </c>
      <c r="W20" s="649">
        <v>26.982857142857146</v>
      </c>
      <c r="X20" s="649">
        <v>28.133495917474214</v>
      </c>
      <c r="Y20" s="650"/>
      <c r="Z20" s="651"/>
      <c r="AA20" s="651"/>
      <c r="AB20" s="651"/>
      <c r="AC20" s="651"/>
      <c r="AD20" s="651"/>
      <c r="AE20" s="651"/>
      <c r="AF20" s="651"/>
      <c r="AG20" s="651"/>
      <c r="AH20" s="651"/>
      <c r="AI20" s="651"/>
      <c r="AJ20" s="651"/>
      <c r="AK20" s="651"/>
      <c r="AL20" s="651"/>
      <c r="AM20" s="613"/>
      <c r="AN20" s="613"/>
      <c r="AO20" s="613"/>
      <c r="AP20" s="613"/>
      <c r="AQ20" s="613"/>
      <c r="AR20" s="613"/>
      <c r="AS20" s="613"/>
      <c r="AT20" s="613"/>
      <c r="AU20" s="613"/>
      <c r="AV20" s="613"/>
      <c r="AW20" s="613"/>
      <c r="AX20" s="613"/>
      <c r="AY20" s="613"/>
      <c r="AZ20" s="613"/>
      <c r="BA20" s="613"/>
      <c r="BB20" s="613"/>
    </row>
    <row r="21" spans="1:54" ht="12.75">
      <c r="A21" s="613"/>
      <c r="B21" s="1182"/>
      <c r="C21" s="623" t="s">
        <v>120</v>
      </c>
      <c r="D21" s="623"/>
      <c r="E21" s="627">
        <v>0.11366605858732343</v>
      </c>
      <c r="F21" s="627">
        <v>3.19</v>
      </c>
      <c r="G21" s="627">
        <v>0.035631993287562204</v>
      </c>
      <c r="H21" s="627"/>
      <c r="I21" s="627">
        <v>28.2884214169279</v>
      </c>
      <c r="J21" s="627">
        <v>35.6319932875622</v>
      </c>
      <c r="K21" s="649"/>
      <c r="L21" s="649"/>
      <c r="M21" s="649">
        <v>0.10822824</v>
      </c>
      <c r="N21" s="649">
        <v>0.08631816</v>
      </c>
      <c r="O21" s="649">
        <v>0.09024006432000001</v>
      </c>
      <c r="P21" s="649"/>
      <c r="Q21" s="649">
        <v>63.87786698076976</v>
      </c>
      <c r="R21" s="649">
        <v>43.126673737219015</v>
      </c>
      <c r="S21" s="649">
        <v>8.294990424088034</v>
      </c>
      <c r="T21" s="649">
        <v>28.639882804950144</v>
      </c>
      <c r="U21" s="649"/>
      <c r="V21" s="649">
        <v>33.92734796238245</v>
      </c>
      <c r="W21" s="649">
        <v>27.05898432601881</v>
      </c>
      <c r="X21" s="649">
        <v>28.288421416927903</v>
      </c>
      <c r="Y21" s="651"/>
      <c r="Z21" s="651"/>
      <c r="AA21" s="651"/>
      <c r="AB21" s="651"/>
      <c r="AC21" s="651"/>
      <c r="AD21" s="651"/>
      <c r="AE21" s="651"/>
      <c r="AF21" s="651"/>
      <c r="AG21" s="651"/>
      <c r="AH21" s="651"/>
      <c r="AI21" s="651"/>
      <c r="AJ21" s="651"/>
      <c r="AK21" s="651"/>
      <c r="AL21" s="651"/>
      <c r="AM21" s="613"/>
      <c r="AN21" s="613"/>
      <c r="AO21" s="613"/>
      <c r="AP21" s="613"/>
      <c r="AQ21" s="613"/>
      <c r="AR21" s="613"/>
      <c r="AS21" s="613"/>
      <c r="AT21" s="613"/>
      <c r="AU21" s="613"/>
      <c r="AV21" s="613"/>
      <c r="AW21" s="613"/>
      <c r="AX21" s="613"/>
      <c r="AY21" s="613"/>
      <c r="AZ21" s="613"/>
      <c r="BA21" s="613"/>
      <c r="BB21" s="613"/>
    </row>
    <row r="22" spans="1:54" ht="12.75">
      <c r="A22" s="613"/>
      <c r="B22" s="1182"/>
      <c r="C22" s="623" t="s">
        <v>124</v>
      </c>
      <c r="D22" s="623">
        <v>39142</v>
      </c>
      <c r="E22" s="627">
        <v>0.14675601129159488</v>
      </c>
      <c r="F22" s="627">
        <v>3.184</v>
      </c>
      <c r="G22" s="627">
        <v>0.04609171208906874</v>
      </c>
      <c r="H22" s="627"/>
      <c r="I22" s="627">
        <v>28.35549135678392</v>
      </c>
      <c r="J22" s="627">
        <v>46.091712089068736</v>
      </c>
      <c r="K22" s="649"/>
      <c r="L22" s="649"/>
      <c r="M22" s="649">
        <v>0.10822824</v>
      </c>
      <c r="N22" s="649">
        <v>0.08631816</v>
      </c>
      <c r="O22" s="649">
        <v>0.09028388447999999</v>
      </c>
      <c r="P22" s="649"/>
      <c r="Q22" s="649">
        <v>86.70670136171637</v>
      </c>
      <c r="R22" s="649">
        <v>51.19197808666432</v>
      </c>
      <c r="S22" s="649">
        <v>14.719443936654503</v>
      </c>
      <c r="T22" s="649">
        <v>35.89997017949636</v>
      </c>
      <c r="U22" s="649"/>
      <c r="V22" s="649">
        <v>33.991281407035174</v>
      </c>
      <c r="W22" s="649">
        <v>27.109974874371858</v>
      </c>
      <c r="X22" s="649">
        <v>28.355491356783915</v>
      </c>
      <c r="Y22" s="651"/>
      <c r="Z22" s="651"/>
      <c r="AA22" s="651"/>
      <c r="AB22" s="651"/>
      <c r="AC22" s="651"/>
      <c r="AD22" s="651"/>
      <c r="AE22" s="651"/>
      <c r="AF22" s="651"/>
      <c r="AG22" s="651"/>
      <c r="AH22" s="651"/>
      <c r="AI22" s="651"/>
      <c r="AJ22" s="651"/>
      <c r="AK22" s="651"/>
      <c r="AL22" s="651"/>
      <c r="AM22" s="613"/>
      <c r="AN22" s="613"/>
      <c r="AO22" s="613"/>
      <c r="AP22" s="613"/>
      <c r="AQ22" s="613"/>
      <c r="AR22" s="613"/>
      <c r="AS22" s="613"/>
      <c r="AT22" s="613"/>
      <c r="AU22" s="613"/>
      <c r="AV22" s="613"/>
      <c r="AW22" s="613"/>
      <c r="AX22" s="613"/>
      <c r="AY22" s="613"/>
      <c r="AZ22" s="613"/>
      <c r="BA22" s="613"/>
      <c r="BB22" s="613"/>
    </row>
    <row r="23" spans="1:54" ht="12.75">
      <c r="A23" s="613"/>
      <c r="B23" s="1182"/>
      <c r="C23" s="623" t="s">
        <v>125</v>
      </c>
      <c r="D23" s="623"/>
      <c r="E23" s="627">
        <v>0.1096257689706156</v>
      </c>
      <c r="F23" s="627">
        <v>3.172</v>
      </c>
      <c r="G23" s="627">
        <v>0.034560456800320175</v>
      </c>
      <c r="H23" s="627"/>
      <c r="I23" s="627">
        <v>28.31770895334174</v>
      </c>
      <c r="J23" s="627">
        <v>34.560456800320175</v>
      </c>
      <c r="K23" s="649"/>
      <c r="L23" s="649"/>
      <c r="M23" s="649">
        <v>0.10822824</v>
      </c>
      <c r="N23" s="649">
        <v>0.08631816</v>
      </c>
      <c r="O23" s="649">
        <v>0.0898237728</v>
      </c>
      <c r="P23" s="649"/>
      <c r="Q23" s="649">
        <v>84.41035725123764</v>
      </c>
      <c r="R23" s="649">
        <v>31.642311095727244</v>
      </c>
      <c r="S23" s="649">
        <v>11.556323471016826</v>
      </c>
      <c r="T23" s="649">
        <v>23.416736422315157</v>
      </c>
      <c r="U23" s="649"/>
      <c r="V23" s="649">
        <v>34.11987389659521</v>
      </c>
      <c r="W23" s="649">
        <v>27.212534678436317</v>
      </c>
      <c r="X23" s="649">
        <v>28.31770895334174</v>
      </c>
      <c r="Y23" s="651"/>
      <c r="Z23" s="651"/>
      <c r="AA23" s="651"/>
      <c r="AB23" s="651"/>
      <c r="AC23" s="651"/>
      <c r="AD23" s="651"/>
      <c r="AE23" s="651"/>
      <c r="AF23" s="651"/>
      <c r="AG23" s="651"/>
      <c r="AH23" s="651"/>
      <c r="AI23" s="651"/>
      <c r="AJ23" s="651"/>
      <c r="AK23" s="651"/>
      <c r="AL23" s="651"/>
      <c r="AM23" s="613"/>
      <c r="AN23" s="613"/>
      <c r="AO23" s="613"/>
      <c r="AP23" s="613"/>
      <c r="AQ23" s="613"/>
      <c r="AR23" s="613"/>
      <c r="AS23" s="613"/>
      <c r="AT23" s="613"/>
      <c r="AU23" s="613"/>
      <c r="AV23" s="613"/>
      <c r="AW23" s="613"/>
      <c r="AX23" s="613"/>
      <c r="AY23" s="613"/>
      <c r="AZ23" s="613"/>
      <c r="BA23" s="613"/>
      <c r="BB23" s="613"/>
    </row>
    <row r="24" spans="1:54" ht="12.75">
      <c r="A24" s="613"/>
      <c r="B24" s="1182"/>
      <c r="C24" s="623" t="s">
        <v>126</v>
      </c>
      <c r="D24" s="623">
        <v>39203</v>
      </c>
      <c r="E24" s="627">
        <v>0.11534907791311343</v>
      </c>
      <c r="F24" s="627">
        <v>3.175</v>
      </c>
      <c r="G24" s="627">
        <v>0.03633041824035069</v>
      </c>
      <c r="H24" s="627"/>
      <c r="I24" s="627">
        <v>29.08938582677165</v>
      </c>
      <c r="J24" s="627">
        <v>36.33041824035069</v>
      </c>
      <c r="K24" s="649"/>
      <c r="L24" s="649"/>
      <c r="M24" s="649">
        <v>0.114</v>
      </c>
      <c r="N24" s="649">
        <v>0.08779999999999999</v>
      </c>
      <c r="O24" s="649">
        <v>0.09235879999999999</v>
      </c>
      <c r="P24" s="649"/>
      <c r="Q24" s="649">
        <v>55.110809593848884</v>
      </c>
      <c r="R24" s="649">
        <v>37.21996317581856</v>
      </c>
      <c r="S24" s="649">
        <v>23.98365628136461</v>
      </c>
      <c r="T24" s="649">
        <v>31.687950098277657</v>
      </c>
      <c r="U24" s="649"/>
      <c r="V24" s="649">
        <v>35.90551181102362</v>
      </c>
      <c r="W24" s="649">
        <v>27.65354330708661</v>
      </c>
      <c r="X24" s="649">
        <v>29.089385826771654</v>
      </c>
      <c r="Y24" s="651" t="s">
        <v>134</v>
      </c>
      <c r="Z24" s="651"/>
      <c r="AA24" s="651"/>
      <c r="AB24" s="651"/>
      <c r="AC24" s="651"/>
      <c r="AD24" s="651"/>
      <c r="AE24" s="651"/>
      <c r="AF24" s="651"/>
      <c r="AG24" s="651"/>
      <c r="AH24" s="651"/>
      <c r="AI24" s="651"/>
      <c r="AJ24" s="651"/>
      <c r="AK24" s="651"/>
      <c r="AL24" s="651"/>
      <c r="AM24" s="613"/>
      <c r="AN24" s="613"/>
      <c r="AO24" s="613"/>
      <c r="AP24" s="613"/>
      <c r="AQ24" s="613"/>
      <c r="AR24" s="613"/>
      <c r="AS24" s="613"/>
      <c r="AT24" s="613"/>
      <c r="AU24" s="613"/>
      <c r="AV24" s="613"/>
      <c r="AW24" s="613"/>
      <c r="AX24" s="613"/>
      <c r="AY24" s="613"/>
      <c r="AZ24" s="613"/>
      <c r="BA24" s="613"/>
      <c r="BB24" s="613"/>
    </row>
    <row r="25" spans="1:54" ht="12.75">
      <c r="A25" s="613"/>
      <c r="B25" s="1182"/>
      <c r="C25" s="623" t="s">
        <v>127</v>
      </c>
      <c r="D25" s="623"/>
      <c r="E25" s="624">
        <v>0.20849612193301884</v>
      </c>
      <c r="F25" s="624">
        <v>3.169</v>
      </c>
      <c r="G25" s="624">
        <v>0.06579240199842816</v>
      </c>
      <c r="H25" s="624"/>
      <c r="I25" s="624">
        <v>29.23931839697065</v>
      </c>
      <c r="J25" s="624">
        <v>65.79240199842816</v>
      </c>
      <c r="K25" s="654"/>
      <c r="L25" s="651"/>
      <c r="M25" s="651">
        <v>0.12</v>
      </c>
      <c r="N25" s="651">
        <v>0.08689999999999999</v>
      </c>
      <c r="O25" s="651">
        <v>0.09265939999999999</v>
      </c>
      <c r="P25" s="651"/>
      <c r="Q25" s="651">
        <v>92.46782006133193</v>
      </c>
      <c r="R25" s="651">
        <v>67.75374592677589</v>
      </c>
      <c r="S25" s="651">
        <v>47.32094747533572</v>
      </c>
      <c r="T25" s="651">
        <v>59.23990816354472</v>
      </c>
      <c r="U25" s="651"/>
      <c r="V25" s="651">
        <v>37.86683496371094</v>
      </c>
      <c r="W25" s="651">
        <v>27.421899652887344</v>
      </c>
      <c r="X25" s="651">
        <v>29.239318396970653</v>
      </c>
      <c r="Y25" s="651"/>
      <c r="Z25" s="651"/>
      <c r="AA25" s="651"/>
      <c r="AB25" s="651"/>
      <c r="AC25" s="651"/>
      <c r="AD25" s="651"/>
      <c r="AE25" s="651"/>
      <c r="AF25" s="651"/>
      <c r="AG25" s="651"/>
      <c r="AH25" s="651"/>
      <c r="AI25" s="651"/>
      <c r="AJ25" s="651"/>
      <c r="AK25" s="651"/>
      <c r="AL25" s="651"/>
      <c r="AM25" s="613"/>
      <c r="AN25" s="613"/>
      <c r="AO25" s="613"/>
      <c r="AP25" s="613"/>
      <c r="AQ25" s="613"/>
      <c r="AR25" s="613"/>
      <c r="AS25" s="1186" t="s">
        <v>116</v>
      </c>
      <c r="AT25" s="634" t="s">
        <v>117</v>
      </c>
      <c r="AU25" s="634" t="s">
        <v>118</v>
      </c>
      <c r="AV25" s="1188" t="s">
        <v>119</v>
      </c>
      <c r="AW25" s="1189"/>
      <c r="AX25" s="613"/>
      <c r="AY25" s="613"/>
      <c r="AZ25" s="613"/>
      <c r="BA25" s="613"/>
      <c r="BB25" s="613"/>
    </row>
    <row r="26" spans="1:54" ht="12.75">
      <c r="A26" s="613"/>
      <c r="B26" s="1182"/>
      <c r="C26" s="623" t="s">
        <v>128</v>
      </c>
      <c r="D26" s="623">
        <v>39264</v>
      </c>
      <c r="E26" s="627">
        <v>0.08803643628466139</v>
      </c>
      <c r="F26" s="627">
        <v>3.161</v>
      </c>
      <c r="G26" s="624">
        <v>0.027850818185593606</v>
      </c>
      <c r="H26" s="624"/>
      <c r="I26" s="624">
        <v>29.177190762416952</v>
      </c>
      <c r="J26" s="624">
        <v>27.850818185593607</v>
      </c>
      <c r="K26" s="654"/>
      <c r="L26" s="654"/>
      <c r="M26" s="654">
        <v>0.12</v>
      </c>
      <c r="N26" s="654">
        <v>0.08689999999999999</v>
      </c>
      <c r="O26" s="654">
        <v>0.0922291</v>
      </c>
      <c r="P26" s="654"/>
      <c r="Q26" s="654">
        <v>34.11461217921594</v>
      </c>
      <c r="R26" s="654">
        <v>28.290546566559783</v>
      </c>
      <c r="S26" s="654">
        <v>23.61990600140262</v>
      </c>
      <c r="T26" s="654">
        <v>26.365718869492248</v>
      </c>
      <c r="U26" s="654"/>
      <c r="V26" s="654">
        <v>37.96267004112622</v>
      </c>
      <c r="W26" s="654">
        <v>27.491300221448903</v>
      </c>
      <c r="X26" s="654">
        <v>29.177190762416956</v>
      </c>
      <c r="Y26" s="655"/>
      <c r="Z26" s="613"/>
      <c r="AA26" s="613"/>
      <c r="AB26" s="613"/>
      <c r="AC26" s="613"/>
      <c r="AD26" s="613"/>
      <c r="AE26" s="613"/>
      <c r="AF26" s="613"/>
      <c r="AG26" s="613"/>
      <c r="AH26" s="613"/>
      <c r="AI26" s="613"/>
      <c r="AJ26" s="613"/>
      <c r="AK26" s="613"/>
      <c r="AL26" s="613"/>
      <c r="AM26" s="613"/>
      <c r="AN26" s="613"/>
      <c r="AO26" s="613"/>
      <c r="AP26" s="613"/>
      <c r="AQ26" s="613"/>
      <c r="AR26" s="613"/>
      <c r="AS26" s="1187"/>
      <c r="AT26" s="635" t="s">
        <v>121</v>
      </c>
      <c r="AU26" s="635" t="s">
        <v>121</v>
      </c>
      <c r="AV26" s="636" t="s">
        <v>122</v>
      </c>
      <c r="AW26" s="637" t="s">
        <v>123</v>
      </c>
      <c r="AX26" s="613"/>
      <c r="AY26" s="613"/>
      <c r="AZ26" s="613"/>
      <c r="BA26" s="613"/>
      <c r="BB26" s="613"/>
    </row>
    <row r="27" spans="1:54" ht="12.75">
      <c r="A27" s="613"/>
      <c r="B27" s="1182"/>
      <c r="C27" s="623" t="s">
        <v>129</v>
      </c>
      <c r="D27" s="623"/>
      <c r="E27" s="624">
        <v>0.14278434944045829</v>
      </c>
      <c r="F27" s="624">
        <v>3.163</v>
      </c>
      <c r="G27" s="624">
        <v>0.04514206431882969</v>
      </c>
      <c r="H27" s="624"/>
      <c r="I27" s="624">
        <v>30.829121087575086</v>
      </c>
      <c r="J27" s="624">
        <v>45.14206431882969</v>
      </c>
      <c r="K27" s="654"/>
      <c r="L27" s="654"/>
      <c r="M27" s="654">
        <v>0.12624000000000002</v>
      </c>
      <c r="N27" s="654">
        <v>0.09141880000000001</v>
      </c>
      <c r="O27" s="654">
        <v>0.09751251</v>
      </c>
      <c r="P27" s="654"/>
      <c r="Q27" s="654">
        <v>52.68105948806901</v>
      </c>
      <c r="R27" s="654">
        <v>48.960009237319966</v>
      </c>
      <c r="S27" s="654">
        <v>35.275551273632374</v>
      </c>
      <c r="T27" s="654">
        <v>43.30225745923322</v>
      </c>
      <c r="U27" s="654"/>
      <c r="V27" s="654">
        <v>39.91147644641165</v>
      </c>
      <c r="W27" s="654">
        <v>28.902560859943097</v>
      </c>
      <c r="X27" s="654">
        <v>30.829121087575086</v>
      </c>
      <c r="Y27" s="655"/>
      <c r="Z27" s="613"/>
      <c r="AA27" s="613"/>
      <c r="AB27" s="613"/>
      <c r="AC27" s="613"/>
      <c r="AD27" s="613"/>
      <c r="AE27" s="613"/>
      <c r="AF27" s="613"/>
      <c r="AG27" s="613"/>
      <c r="AH27" s="613"/>
      <c r="AI27" s="613"/>
      <c r="AJ27" s="613"/>
      <c r="AK27" s="613"/>
      <c r="AL27" s="613"/>
      <c r="AM27" s="613"/>
      <c r="AN27" s="613"/>
      <c r="AO27" s="613"/>
      <c r="AP27" s="613"/>
      <c r="AQ27" s="613"/>
      <c r="AR27" s="613"/>
      <c r="AS27" s="639">
        <v>41548</v>
      </c>
      <c r="AT27" s="640">
        <v>19.446012889650294</v>
      </c>
      <c r="AU27" s="640">
        <v>40.56306044020031</v>
      </c>
      <c r="AV27" s="641"/>
      <c r="AW27" s="642"/>
      <c r="AX27" s="613"/>
      <c r="AY27" s="613"/>
      <c r="AZ27" s="613"/>
      <c r="BA27" s="613"/>
      <c r="BB27" s="613"/>
    </row>
    <row r="28" spans="1:54" ht="12.75">
      <c r="A28" s="613"/>
      <c r="B28" s="1182"/>
      <c r="C28" s="623" t="s">
        <v>135</v>
      </c>
      <c r="D28" s="623">
        <v>39326</v>
      </c>
      <c r="E28" s="627">
        <v>0.10650386404041466</v>
      </c>
      <c r="F28" s="627">
        <v>3.087</v>
      </c>
      <c r="G28" s="627">
        <v>0.034500765805122985</v>
      </c>
      <c r="H28" s="627"/>
      <c r="I28" s="627">
        <v>31.655794363459666</v>
      </c>
      <c r="J28" s="627">
        <v>34.50076580512299</v>
      </c>
      <c r="K28" s="649"/>
      <c r="L28" s="649"/>
      <c r="M28" s="649">
        <v>0.12624000000000002</v>
      </c>
      <c r="N28" s="649">
        <v>0.09141880000000001</v>
      </c>
      <c r="O28" s="649">
        <v>0.0977214372</v>
      </c>
      <c r="P28" s="649"/>
      <c r="Q28" s="649">
        <v>39.41807910885582</v>
      </c>
      <c r="R28" s="649">
        <v>38.55729498552019</v>
      </c>
      <c r="S28" s="649">
        <v>25.867286280760318</v>
      </c>
      <c r="T28" s="649">
        <v>33.28550059107308</v>
      </c>
      <c r="U28" s="655"/>
      <c r="V28" s="655">
        <v>40.89407191448008</v>
      </c>
      <c r="W28" s="655">
        <v>29.61412374473599</v>
      </c>
      <c r="X28" s="655">
        <v>31.655794363459666</v>
      </c>
      <c r="Y28" s="655">
        <v>120</v>
      </c>
      <c r="Z28" s="613"/>
      <c r="AA28" s="613"/>
      <c r="AB28" s="613"/>
      <c r="AC28" s="613"/>
      <c r="AD28" s="613"/>
      <c r="AE28" s="613"/>
      <c r="AF28" s="613"/>
      <c r="AG28" s="613"/>
      <c r="AH28" s="613"/>
      <c r="AI28" s="613"/>
      <c r="AJ28" s="613"/>
      <c r="AK28" s="613"/>
      <c r="AL28" s="613"/>
      <c r="AM28" s="613"/>
      <c r="AN28" s="613"/>
      <c r="AO28" s="613"/>
      <c r="AP28" s="613"/>
      <c r="AQ28" s="613"/>
      <c r="AR28" s="613"/>
      <c r="AS28" s="639">
        <v>41579</v>
      </c>
      <c r="AT28" s="640">
        <v>23.017526648706628</v>
      </c>
      <c r="AU28" s="640">
        <v>38.21815476190476</v>
      </c>
      <c r="AV28" s="643">
        <f>AT28/AT27-1</f>
        <v>0.18366303567335351</v>
      </c>
      <c r="AW28" s="643">
        <f>AU28/AU27-1</f>
        <v>-0.05780889441891346</v>
      </c>
      <c r="AX28" s="613"/>
      <c r="AY28" s="613"/>
      <c r="AZ28" s="613"/>
      <c r="BA28" s="613"/>
      <c r="BB28" s="613"/>
    </row>
    <row r="29" spans="1:54" ht="12.75">
      <c r="A29" s="613"/>
      <c r="B29" s="1182"/>
      <c r="C29" s="623" t="s">
        <v>131</v>
      </c>
      <c r="D29" s="623"/>
      <c r="E29" s="624">
        <v>0.10654947040758003</v>
      </c>
      <c r="F29" s="624">
        <v>2.998</v>
      </c>
      <c r="G29" s="624">
        <v>0.03554018359158773</v>
      </c>
      <c r="H29" s="624"/>
      <c r="I29" s="624">
        <v>32.52585390260173</v>
      </c>
      <c r="J29" s="624">
        <v>35.540183591587734</v>
      </c>
      <c r="K29" s="654"/>
      <c r="L29" s="654"/>
      <c r="M29" s="654">
        <v>0.12624000000000002</v>
      </c>
      <c r="N29" s="654">
        <v>0.09141880000000001</v>
      </c>
      <c r="O29" s="654">
        <v>0.09751251</v>
      </c>
      <c r="P29" s="654"/>
      <c r="Q29" s="654">
        <v>47.41522958621566</v>
      </c>
      <c r="R29" s="654">
        <v>36.40886278243837</v>
      </c>
      <c r="S29" s="654">
        <v>27.25682210099066</v>
      </c>
      <c r="T29" s="654">
        <v>32.59928414043589</v>
      </c>
      <c r="U29" s="654"/>
      <c r="V29" s="654">
        <v>42.10807204803203</v>
      </c>
      <c r="W29" s="654">
        <v>30.493262174783187</v>
      </c>
      <c r="X29" s="654">
        <v>32.52585390260173</v>
      </c>
      <c r="Y29" s="655">
        <v>120</v>
      </c>
      <c r="Z29" s="613"/>
      <c r="AA29" s="613"/>
      <c r="AB29" s="613"/>
      <c r="AC29" s="613"/>
      <c r="AD29" s="613"/>
      <c r="AE29" s="613"/>
      <c r="AF29" s="613"/>
      <c r="AG29" s="613"/>
      <c r="AH29" s="613"/>
      <c r="AI29" s="613"/>
      <c r="AJ29" s="613"/>
      <c r="AK29" s="613"/>
      <c r="AL29" s="613"/>
      <c r="AM29" s="613"/>
      <c r="AN29" s="613"/>
      <c r="AO29" s="613"/>
      <c r="AP29" s="613"/>
      <c r="AQ29" s="613"/>
      <c r="AR29" s="613"/>
      <c r="AS29" s="639">
        <v>41609</v>
      </c>
      <c r="AT29" s="640">
        <v>24.89753035370486</v>
      </c>
      <c r="AU29" s="640">
        <v>38.21357699940007</v>
      </c>
      <c r="AV29" s="643">
        <f>AT29/AT28-1</f>
        <v>0.08167705130489633</v>
      </c>
      <c r="AW29" s="643">
        <f>AU29/AU28-1</f>
        <v>-0.00011977978877353301</v>
      </c>
      <c r="AX29" s="613"/>
      <c r="AY29" s="613"/>
      <c r="AZ29" s="613"/>
      <c r="BA29" s="613"/>
      <c r="BB29" s="613"/>
    </row>
    <row r="30" spans="1:54" ht="12.75">
      <c r="A30" s="613"/>
      <c r="B30" s="1182"/>
      <c r="C30" s="623" t="s">
        <v>132</v>
      </c>
      <c r="D30" s="623">
        <v>39387</v>
      </c>
      <c r="E30" s="627">
        <v>0.08856907232381263</v>
      </c>
      <c r="F30" s="627">
        <v>3</v>
      </c>
      <c r="G30" s="627">
        <v>0.029523024107937543</v>
      </c>
      <c r="H30" s="627"/>
      <c r="I30" s="627">
        <v>30.67458550533333</v>
      </c>
      <c r="J30" s="627">
        <v>29.52302410793754</v>
      </c>
      <c r="K30" s="649"/>
      <c r="L30" s="649"/>
      <c r="M30" s="649">
        <v>0.1191768</v>
      </c>
      <c r="N30" s="649">
        <v>0.08630386599999999</v>
      </c>
      <c r="O30" s="649">
        <v>0.09202375651599999</v>
      </c>
      <c r="P30" s="649"/>
      <c r="Q30" s="649">
        <v>40.12521139654132</v>
      </c>
      <c r="R30" s="649">
        <v>31.104740488913265</v>
      </c>
      <c r="S30" s="649">
        <v>20.99441419770166</v>
      </c>
      <c r="T30" s="649">
        <v>26.913107466759634</v>
      </c>
      <c r="U30" s="651"/>
      <c r="V30" s="651">
        <v>39.7256</v>
      </c>
      <c r="W30" s="651">
        <v>28.76795533333333</v>
      </c>
      <c r="X30" s="651">
        <v>30.674585505333333</v>
      </c>
      <c r="Y30" s="655">
        <v>120</v>
      </c>
      <c r="Z30" s="613"/>
      <c r="AA30" s="613"/>
      <c r="AB30" s="613"/>
      <c r="AC30" s="613"/>
      <c r="AD30" s="613"/>
      <c r="AE30" s="613"/>
      <c r="AF30" s="613"/>
      <c r="AG30" s="613"/>
      <c r="AH30" s="613"/>
      <c r="AI30" s="613"/>
      <c r="AJ30" s="613"/>
      <c r="AK30" s="613"/>
      <c r="AL30" s="613"/>
      <c r="AM30" s="613"/>
      <c r="AN30" s="613"/>
      <c r="AO30" s="613"/>
      <c r="AP30" s="613"/>
      <c r="AQ30" s="613"/>
      <c r="AR30" s="613"/>
      <c r="AS30" s="613"/>
      <c r="AT30" s="613"/>
      <c r="AU30" s="613"/>
      <c r="AV30" s="613"/>
      <c r="AW30" s="613"/>
      <c r="AX30" s="613"/>
      <c r="AY30" s="613"/>
      <c r="AZ30" s="613"/>
      <c r="BA30" s="613"/>
      <c r="BB30" s="613"/>
    </row>
    <row r="31" spans="1:54" ht="13.5" thickBot="1">
      <c r="A31" s="613"/>
      <c r="B31" s="1183"/>
      <c r="C31" s="647" t="s">
        <v>133</v>
      </c>
      <c r="D31" s="647"/>
      <c r="E31" s="656">
        <v>0.13228707924114408</v>
      </c>
      <c r="F31" s="656">
        <v>2.997</v>
      </c>
      <c r="G31" s="656">
        <v>0.04413983291329466</v>
      </c>
      <c r="H31" s="656"/>
      <c r="I31" s="657">
        <v>30.36143812479146</v>
      </c>
      <c r="J31" s="657">
        <v>44.13983291329466</v>
      </c>
      <c r="K31" s="654"/>
      <c r="L31" s="658"/>
      <c r="M31" s="658">
        <v>0.118392</v>
      </c>
      <c r="N31" s="658">
        <v>0.08573554</v>
      </c>
      <c r="O31" s="658">
        <v>0.09099323006</v>
      </c>
      <c r="P31" s="658"/>
      <c r="Q31" s="658">
        <v>57.71288198781246</v>
      </c>
      <c r="R31" s="658">
        <v>43.09097991532234</v>
      </c>
      <c r="S31" s="658">
        <v>38.20707490996589</v>
      </c>
      <c r="T31" s="658">
        <v>41.07469621036092</v>
      </c>
      <c r="U31" s="658"/>
      <c r="V31" s="658">
        <v>39.5035035035035</v>
      </c>
      <c r="W31" s="658">
        <v>28.60712045378712</v>
      </c>
      <c r="X31" s="658">
        <v>30.36143812479146</v>
      </c>
      <c r="Y31" s="655">
        <v>120</v>
      </c>
      <c r="Z31" s="613"/>
      <c r="AA31" s="613"/>
      <c r="AB31" s="613"/>
      <c r="AC31" s="613"/>
      <c r="AD31" s="613"/>
      <c r="AE31" s="613"/>
      <c r="AF31" s="613"/>
      <c r="AG31" s="613"/>
      <c r="AH31" s="613"/>
      <c r="AI31" s="613"/>
      <c r="AJ31" s="613"/>
      <c r="AK31" s="613"/>
      <c r="AL31" s="613"/>
      <c r="AM31" s="613"/>
      <c r="AN31" s="613"/>
      <c r="AO31" s="613"/>
      <c r="AP31" s="613"/>
      <c r="AQ31" s="613"/>
      <c r="AR31" s="613"/>
      <c r="AS31" s="613"/>
      <c r="AT31" s="613"/>
      <c r="AU31" s="613"/>
      <c r="AV31" s="613"/>
      <c r="AW31" s="613"/>
      <c r="AX31" s="613"/>
      <c r="AY31" s="613"/>
      <c r="AZ31" s="613"/>
      <c r="BA31" s="613"/>
      <c r="BB31" s="613"/>
    </row>
    <row r="32" spans="1:54" ht="12.75">
      <c r="A32" s="613"/>
      <c r="B32" s="1181">
        <v>2008</v>
      </c>
      <c r="C32" s="652" t="s">
        <v>115</v>
      </c>
      <c r="D32" s="652">
        <v>39448</v>
      </c>
      <c r="E32" s="659">
        <v>0.05107423178605327</v>
      </c>
      <c r="F32" s="660">
        <v>2.934</v>
      </c>
      <c r="G32" s="659">
        <v>0.01740771362851168</v>
      </c>
      <c r="H32" s="661"/>
      <c r="I32" s="659">
        <v>29.17281880862853</v>
      </c>
      <c r="J32" s="659">
        <v>17.40771362851168</v>
      </c>
      <c r="K32" s="630"/>
      <c r="L32" s="613"/>
      <c r="M32" s="630">
        <v>0.11108670967741935</v>
      </c>
      <c r="N32" s="630">
        <v>0.08044529225806452</v>
      </c>
      <c r="O32" s="631">
        <v>0.08559305038451612</v>
      </c>
      <c r="P32" s="613"/>
      <c r="Q32" s="632">
        <v>28.62835240369948</v>
      </c>
      <c r="R32" s="632">
        <v>20.488678636264382</v>
      </c>
      <c r="S32" s="632">
        <v>6.832413600968437</v>
      </c>
      <c r="T32" s="632">
        <v>14.919641120484528</v>
      </c>
      <c r="U32" s="613"/>
      <c r="V32" s="633">
        <v>37.861864239065895</v>
      </c>
      <c r="W32" s="633">
        <v>27.41830001979022</v>
      </c>
      <c r="X32" s="633">
        <v>29.17281880862853</v>
      </c>
      <c r="Y32" s="655">
        <v>120</v>
      </c>
      <c r="Z32" s="613"/>
      <c r="AA32" s="613"/>
      <c r="AB32" s="613"/>
      <c r="AC32" s="613"/>
      <c r="AD32" s="613"/>
      <c r="AE32" s="613"/>
      <c r="AF32" s="613"/>
      <c r="AG32" s="613"/>
      <c r="AH32" s="613"/>
      <c r="AI32" s="613"/>
      <c r="AJ32" s="613"/>
      <c r="AK32" s="613"/>
      <c r="AL32" s="613"/>
      <c r="AM32" s="613"/>
      <c r="AN32" s="613"/>
      <c r="AO32" s="613"/>
      <c r="AP32" s="613"/>
      <c r="AQ32" s="613"/>
      <c r="AR32" s="613"/>
      <c r="AS32" s="613"/>
      <c r="AT32" s="613"/>
      <c r="AU32" s="613"/>
      <c r="AV32" s="613"/>
      <c r="AW32" s="613"/>
      <c r="AX32" s="613"/>
      <c r="AY32" s="613"/>
      <c r="AZ32" s="613"/>
      <c r="BA32" s="613"/>
      <c r="BB32" s="613"/>
    </row>
    <row r="33" spans="1:54" ht="12.75">
      <c r="A33" s="613"/>
      <c r="B33" s="1182"/>
      <c r="C33" s="623" t="s">
        <v>120</v>
      </c>
      <c r="D33" s="623"/>
      <c r="E33" s="624">
        <v>0.05299826296641291</v>
      </c>
      <c r="F33" s="625">
        <v>2.887</v>
      </c>
      <c r="G33" s="624">
        <v>0.018357555582408352</v>
      </c>
      <c r="H33" s="626"/>
      <c r="I33" s="624">
        <v>29.438852566678214</v>
      </c>
      <c r="J33" s="624">
        <v>18.357555582408352</v>
      </c>
      <c r="K33" s="630"/>
      <c r="L33" s="613"/>
      <c r="M33" s="630">
        <v>0.110304</v>
      </c>
      <c r="N33" s="630">
        <v>0.07987848</v>
      </c>
      <c r="O33" s="631">
        <v>0.08498996736</v>
      </c>
      <c r="P33" s="613"/>
      <c r="Q33" s="632">
        <v>29.899024746953934</v>
      </c>
      <c r="R33" s="632">
        <v>21.7707141727098</v>
      </c>
      <c r="S33" s="632">
        <v>6.6206929442341815</v>
      </c>
      <c r="T33" s="632">
        <v>15.464672066646298</v>
      </c>
      <c r="U33" s="613"/>
      <c r="V33" s="633">
        <v>38.20713543470731</v>
      </c>
      <c r="W33" s="633">
        <v>27.668333910633876</v>
      </c>
      <c r="X33" s="633">
        <v>29.438852566678214</v>
      </c>
      <c r="Y33" s="655"/>
      <c r="Z33" s="613"/>
      <c r="AA33" s="613"/>
      <c r="AB33" s="613"/>
      <c r="AC33" s="613"/>
      <c r="AD33" s="613"/>
      <c r="AE33" s="613"/>
      <c r="AF33" s="613"/>
      <c r="AG33" s="613"/>
      <c r="AH33" s="613"/>
      <c r="AI33" s="613"/>
      <c r="AJ33" s="613"/>
      <c r="AK33" s="613"/>
      <c r="AL33" s="613"/>
      <c r="AM33" s="613"/>
      <c r="AN33" s="613"/>
      <c r="AO33" s="613"/>
      <c r="AP33" s="613"/>
      <c r="AQ33" s="613"/>
      <c r="AR33" s="613"/>
      <c r="AS33" s="613"/>
      <c r="AT33" s="613"/>
      <c r="AU33" s="613"/>
      <c r="AV33" s="613"/>
      <c r="AW33" s="613"/>
      <c r="AX33" s="613"/>
      <c r="AY33" s="613"/>
      <c r="AZ33" s="613"/>
      <c r="BA33" s="613"/>
      <c r="BB33" s="613"/>
    </row>
    <row r="34" spans="1:54" ht="12.75">
      <c r="A34" s="613"/>
      <c r="B34" s="1182"/>
      <c r="C34" s="623" t="s">
        <v>124</v>
      </c>
      <c r="D34" s="623">
        <v>39508</v>
      </c>
      <c r="E34" s="624">
        <v>0.05737703074803409</v>
      </c>
      <c r="F34" s="625">
        <v>2.746</v>
      </c>
      <c r="G34" s="624">
        <v>0.020894767206130403</v>
      </c>
      <c r="H34" s="626"/>
      <c r="I34" s="624">
        <v>31.09450077203205</v>
      </c>
      <c r="J34" s="624">
        <v>20.894767206130403</v>
      </c>
      <c r="K34" s="630"/>
      <c r="L34" s="613"/>
      <c r="M34" s="630">
        <v>0.110304</v>
      </c>
      <c r="N34" s="630">
        <v>0.07987848</v>
      </c>
      <c r="O34" s="631">
        <v>0.08538549912</v>
      </c>
      <c r="P34" s="613"/>
      <c r="Q34" s="632">
        <v>43.406977631153154</v>
      </c>
      <c r="R34" s="632">
        <v>21.87078244936916</v>
      </c>
      <c r="S34" s="632">
        <v>7.135308362903219</v>
      </c>
      <c r="T34" s="632">
        <v>15.842323324351113</v>
      </c>
      <c r="U34" s="613"/>
      <c r="V34" s="633">
        <v>40.16897305171158</v>
      </c>
      <c r="W34" s="633">
        <v>29.089031318281137</v>
      </c>
      <c r="X34" s="633">
        <v>31.094500772032045</v>
      </c>
      <c r="Y34" s="655"/>
      <c r="Z34" s="613"/>
      <c r="AA34" s="613"/>
      <c r="AB34" s="613"/>
      <c r="AC34" s="613"/>
      <c r="AD34" s="613"/>
      <c r="AE34" s="613"/>
      <c r="AF34" s="613"/>
      <c r="AG34" s="613"/>
      <c r="AH34" s="613"/>
      <c r="AI34" s="613"/>
      <c r="AJ34" s="613"/>
      <c r="AK34" s="613"/>
      <c r="AL34" s="613"/>
      <c r="AM34" s="613"/>
      <c r="AN34" s="613"/>
      <c r="AO34" s="613"/>
      <c r="AP34" s="613"/>
      <c r="AQ34" s="613"/>
      <c r="AR34" s="613"/>
      <c r="AS34" s="613"/>
      <c r="AT34" s="613"/>
      <c r="AU34" s="613"/>
      <c r="AV34" s="613"/>
      <c r="AW34" s="613"/>
      <c r="AX34" s="613"/>
      <c r="AY34" s="613"/>
      <c r="AZ34" s="613"/>
      <c r="BA34" s="613"/>
      <c r="BB34" s="613"/>
    </row>
    <row r="35" spans="1:54" ht="12.75">
      <c r="A35" s="613"/>
      <c r="B35" s="1182"/>
      <c r="C35" s="623" t="s">
        <v>125</v>
      </c>
      <c r="D35" s="623"/>
      <c r="E35" s="624">
        <v>0.05959366066939271</v>
      </c>
      <c r="F35" s="625">
        <v>2.851</v>
      </c>
      <c r="G35" s="624">
        <v>0.020902722086774014</v>
      </c>
      <c r="H35" s="626"/>
      <c r="I35" s="624">
        <v>29.116926145212208</v>
      </c>
      <c r="J35" s="624">
        <v>20.902722086774013</v>
      </c>
      <c r="K35" s="630"/>
      <c r="L35" s="654"/>
      <c r="M35" s="630">
        <v>0.1080468</v>
      </c>
      <c r="N35" s="630">
        <v>0.07824389100000001</v>
      </c>
      <c r="O35" s="654">
        <v>0.08301235644</v>
      </c>
      <c r="P35" s="654"/>
      <c r="Q35" s="654">
        <v>32.20259927079546</v>
      </c>
      <c r="R35" s="654">
        <v>24.726108384240973</v>
      </c>
      <c r="S35" s="654">
        <v>8.693842555230196</v>
      </c>
      <c r="T35" s="654">
        <v>18.008775493540135</v>
      </c>
      <c r="U35" s="654"/>
      <c r="V35" s="654">
        <v>37.8978603998597</v>
      </c>
      <c r="W35" s="654">
        <v>27.44436723956507</v>
      </c>
      <c r="X35" s="654">
        <v>29.116926145212208</v>
      </c>
      <c r="Y35" s="654"/>
      <c r="Z35" s="654"/>
      <c r="AA35" s="613"/>
      <c r="AB35" s="613"/>
      <c r="AC35" s="613"/>
      <c r="AD35" s="613"/>
      <c r="AE35" s="613"/>
      <c r="AF35" s="613"/>
      <c r="AG35" s="613"/>
      <c r="AH35" s="613"/>
      <c r="AI35" s="613"/>
      <c r="AJ35" s="613"/>
      <c r="AK35" s="613"/>
      <c r="AL35" s="613"/>
      <c r="AM35" s="613"/>
      <c r="AN35" s="613"/>
      <c r="AO35" s="613"/>
      <c r="AP35" s="613"/>
      <c r="AQ35" s="613"/>
      <c r="AR35" s="613"/>
      <c r="AS35" s="613"/>
      <c r="AT35" s="613"/>
      <c r="AU35" s="613"/>
      <c r="AV35" s="613"/>
      <c r="AW35" s="613"/>
      <c r="AX35" s="613"/>
      <c r="AY35" s="613"/>
      <c r="AZ35" s="613"/>
      <c r="BA35" s="613"/>
      <c r="BB35" s="613"/>
    </row>
    <row r="36" spans="1:54" ht="12.75">
      <c r="A36" s="613"/>
      <c r="B36" s="1182"/>
      <c r="C36" s="623" t="s">
        <v>126</v>
      </c>
      <c r="D36" s="623">
        <v>39569</v>
      </c>
      <c r="E36" s="624">
        <v>0.1361700358496622</v>
      </c>
      <c r="F36" s="624">
        <v>2.845</v>
      </c>
      <c r="G36" s="624">
        <v>0.04786292999988126</v>
      </c>
      <c r="H36" s="624"/>
      <c r="I36" s="624">
        <v>31.930685843868687</v>
      </c>
      <c r="J36" s="624">
        <v>47.86292999988126</v>
      </c>
      <c r="K36" s="654"/>
      <c r="L36" s="654"/>
      <c r="M36" s="654">
        <v>0.11839162064516129</v>
      </c>
      <c r="N36" s="654">
        <v>0.0849991122580645</v>
      </c>
      <c r="O36" s="654">
        <v>0.09084280122580643</v>
      </c>
      <c r="P36" s="654"/>
      <c r="Q36" s="654">
        <v>56.115550730506335</v>
      </c>
      <c r="R36" s="654">
        <v>47.27847121160428</v>
      </c>
      <c r="S36" s="654">
        <v>43.76841420373809</v>
      </c>
      <c r="T36" s="654">
        <v>45.813329945002664</v>
      </c>
      <c r="U36" s="654"/>
      <c r="V36" s="654">
        <v>41.61392641306196</v>
      </c>
      <c r="W36" s="654">
        <v>29.87666511707012</v>
      </c>
      <c r="X36" s="654">
        <v>31.93068584386869</v>
      </c>
      <c r="Y36" s="613"/>
      <c r="Z36" s="613"/>
      <c r="AA36" s="613"/>
      <c r="AB36" s="613"/>
      <c r="AC36" s="613"/>
      <c r="AD36" s="613"/>
      <c r="AE36" s="613"/>
      <c r="AF36" s="613"/>
      <c r="AG36" s="613"/>
      <c r="AH36" s="613"/>
      <c r="AI36" s="613"/>
      <c r="AJ36" s="613"/>
      <c r="AK36" s="613"/>
      <c r="AL36" s="613"/>
      <c r="AM36" s="613"/>
      <c r="AN36" s="613"/>
      <c r="AO36" s="613"/>
      <c r="AP36" s="613"/>
      <c r="AQ36" s="613"/>
      <c r="AR36" s="613"/>
      <c r="AS36" s="613"/>
      <c r="AT36" s="613"/>
      <c r="AU36" s="613"/>
      <c r="AV36" s="613"/>
      <c r="AW36" s="613"/>
      <c r="AX36" s="613"/>
      <c r="AY36" s="613"/>
      <c r="AZ36" s="613"/>
      <c r="BA36" s="613"/>
      <c r="BB36" s="613"/>
    </row>
    <row r="37" spans="1:54" ht="12.75">
      <c r="A37" s="613"/>
      <c r="B37" s="1182"/>
      <c r="C37" s="623" t="s">
        <v>127</v>
      </c>
      <c r="D37" s="623"/>
      <c r="E37" s="627">
        <v>0.4580133602034182</v>
      </c>
      <c r="F37" s="627">
        <v>2.967</v>
      </c>
      <c r="G37" s="627">
        <v>0.15436918105946013</v>
      </c>
      <c r="H37" s="627"/>
      <c r="I37" s="627">
        <v>32.01472185642062</v>
      </c>
      <c r="J37" s="627">
        <v>154.36918105946012</v>
      </c>
      <c r="K37" s="649"/>
      <c r="L37" s="649"/>
      <c r="M37" s="649">
        <v>0.12248612999999998</v>
      </c>
      <c r="N37" s="649">
        <v>0.089195028</v>
      </c>
      <c r="O37" s="649">
        <v>0.09498767974799999</v>
      </c>
      <c r="P37" s="649"/>
      <c r="Q37" s="649">
        <v>176.42934408531977</v>
      </c>
      <c r="R37" s="649">
        <v>159.14273826981474</v>
      </c>
      <c r="S37" s="649">
        <v>134.59165614310615</v>
      </c>
      <c r="T37" s="649">
        <v>148.94599360955212</v>
      </c>
      <c r="U37" s="649"/>
      <c r="V37" s="649">
        <v>41.28282103134479</v>
      </c>
      <c r="W37" s="649">
        <v>30.062361981799796</v>
      </c>
      <c r="X37" s="649">
        <v>32.01472185642062</v>
      </c>
      <c r="Y37" s="655">
        <v>345</v>
      </c>
      <c r="Z37" s="613"/>
      <c r="AA37" s="613"/>
      <c r="AB37" s="613"/>
      <c r="AC37" s="613"/>
      <c r="AD37" s="613"/>
      <c r="AE37" s="613"/>
      <c r="AF37" s="613"/>
      <c r="AG37" s="613"/>
      <c r="AH37" s="613"/>
      <c r="AI37" s="613"/>
      <c r="AJ37" s="613"/>
      <c r="AK37" s="613"/>
      <c r="AL37" s="613"/>
      <c r="AM37" s="613"/>
      <c r="AN37" s="613"/>
      <c r="AO37" s="613"/>
      <c r="AP37" s="613"/>
      <c r="AQ37" s="613"/>
      <c r="AR37" s="613"/>
      <c r="AS37" s="613"/>
      <c r="AT37" s="613"/>
      <c r="AU37" s="613"/>
      <c r="AV37" s="613"/>
      <c r="AW37" s="613"/>
      <c r="AX37" s="613"/>
      <c r="AY37" s="613"/>
      <c r="AZ37" s="613"/>
      <c r="BA37" s="613"/>
      <c r="BB37" s="613"/>
    </row>
    <row r="38" spans="1:54" ht="12.75">
      <c r="A38" s="613"/>
      <c r="B38" s="1182"/>
      <c r="C38" s="623" t="s">
        <v>128</v>
      </c>
      <c r="D38" s="623">
        <v>39630</v>
      </c>
      <c r="E38" s="627">
        <v>0.6644427053066985</v>
      </c>
      <c r="F38" s="627">
        <v>2.816</v>
      </c>
      <c r="G38" s="627">
        <v>0.23595266523675373</v>
      </c>
      <c r="H38" s="627"/>
      <c r="I38" s="627">
        <v>35.746655723286295</v>
      </c>
      <c r="J38" s="627">
        <v>235.95266523675375</v>
      </c>
      <c r="K38" s="662"/>
      <c r="L38" s="662"/>
      <c r="M38" s="662">
        <v>0.13039800967741932</v>
      </c>
      <c r="N38" s="662">
        <v>0.09495649935483871</v>
      </c>
      <c r="O38" s="662">
        <v>0.1006625825167742</v>
      </c>
      <c r="P38" s="662"/>
      <c r="Q38" s="662">
        <v>254.71948740343865</v>
      </c>
      <c r="R38" s="662">
        <v>242.77697874845575</v>
      </c>
      <c r="S38" s="662">
        <v>215.3671271165645</v>
      </c>
      <c r="T38" s="662">
        <v>231.4746045600289</v>
      </c>
      <c r="U38" s="662"/>
      <c r="V38" s="662">
        <v>46.30611139112902</v>
      </c>
      <c r="W38" s="662">
        <v>33.72034778225807</v>
      </c>
      <c r="X38" s="662">
        <v>35.746655723286295</v>
      </c>
      <c r="Y38" s="655">
        <v>345</v>
      </c>
      <c r="Z38" s="613"/>
      <c r="AA38" s="613"/>
      <c r="AB38" s="613"/>
      <c r="AC38" s="613"/>
      <c r="AD38" s="613"/>
      <c r="AE38" s="613"/>
      <c r="AF38" s="613"/>
      <c r="AG38" s="613"/>
      <c r="AH38" s="613"/>
      <c r="AI38" s="613"/>
      <c r="AJ38" s="613"/>
      <c r="AK38" s="613"/>
      <c r="AL38" s="613"/>
      <c r="AM38" s="613"/>
      <c r="AN38" s="613"/>
      <c r="AO38" s="613"/>
      <c r="AP38" s="613"/>
      <c r="AQ38" s="613"/>
      <c r="AR38" s="613"/>
      <c r="AS38" s="613"/>
      <c r="AT38" s="613"/>
      <c r="AU38" s="613"/>
      <c r="AV38" s="613"/>
      <c r="AW38" s="613"/>
      <c r="AX38" s="613"/>
      <c r="AY38" s="613"/>
      <c r="AZ38" s="613"/>
      <c r="BA38" s="613"/>
      <c r="BB38" s="613"/>
    </row>
    <row r="39" spans="1:54" ht="12.75">
      <c r="A39" s="613"/>
      <c r="B39" s="1182"/>
      <c r="C39" s="623" t="s">
        <v>129</v>
      </c>
      <c r="D39" s="623"/>
      <c r="E39" s="627">
        <v>0.5778601044682826</v>
      </c>
      <c r="F39" s="627">
        <v>2.953</v>
      </c>
      <c r="G39" s="627">
        <v>0.19568577868888679</v>
      </c>
      <c r="H39" s="627"/>
      <c r="I39" s="627">
        <v>33.60951316867483</v>
      </c>
      <c r="J39" s="627">
        <v>195.68577868888678</v>
      </c>
      <c r="K39" s="649"/>
      <c r="L39" s="649"/>
      <c r="M39" s="649">
        <v>0.12793610322580645</v>
      </c>
      <c r="N39" s="649">
        <v>0.0931637264516129</v>
      </c>
      <c r="O39" s="649">
        <v>0.09924889238709678</v>
      </c>
      <c r="P39" s="649"/>
      <c r="Q39" s="649">
        <v>219.37203257015645</v>
      </c>
      <c r="R39" s="649">
        <v>195.87030518411188</v>
      </c>
      <c r="S39" s="649">
        <v>181.8999180232581</v>
      </c>
      <c r="T39" s="649">
        <v>190.12208584275274</v>
      </c>
      <c r="U39" s="649"/>
      <c r="V39" s="649">
        <v>43.324112165867405</v>
      </c>
      <c r="W39" s="649">
        <v>31.54884065411883</v>
      </c>
      <c r="X39" s="649">
        <v>33.60951316867483</v>
      </c>
      <c r="Y39" s="655">
        <v>345</v>
      </c>
      <c r="Z39" s="613"/>
      <c r="AA39" s="613"/>
      <c r="AB39" s="613"/>
      <c r="AC39" s="613"/>
      <c r="AD39" s="613"/>
      <c r="AE39" s="613"/>
      <c r="AF39" s="613"/>
      <c r="AG39" s="613"/>
      <c r="AH39" s="613"/>
      <c r="AI39" s="613"/>
      <c r="AJ39" s="613"/>
      <c r="AK39" s="613"/>
      <c r="AL39" s="613"/>
      <c r="AM39" s="613"/>
      <c r="AN39" s="613"/>
      <c r="AO39" s="613"/>
      <c r="AP39" s="613"/>
      <c r="AQ39" s="613"/>
      <c r="AR39" s="613"/>
      <c r="AS39" s="613"/>
      <c r="AT39" s="613"/>
      <c r="AU39" s="613"/>
      <c r="AV39" s="613"/>
      <c r="AW39" s="613"/>
      <c r="AX39" s="613"/>
      <c r="AY39" s="613"/>
      <c r="AZ39" s="613"/>
      <c r="BA39" s="613"/>
      <c r="BB39" s="613"/>
    </row>
    <row r="40" spans="1:54" ht="12.75">
      <c r="A40" s="613"/>
      <c r="B40" s="1182"/>
      <c r="C40" s="623" t="s">
        <v>130</v>
      </c>
      <c r="D40" s="623">
        <v>39692</v>
      </c>
      <c r="E40" s="627">
        <v>0.5513644490306141</v>
      </c>
      <c r="F40" s="627">
        <v>2.977</v>
      </c>
      <c r="G40" s="627">
        <v>0.185208078276995</v>
      </c>
      <c r="H40" s="627"/>
      <c r="I40" s="627">
        <v>36.17518619213973</v>
      </c>
      <c r="J40" s="627">
        <v>185.208078276995</v>
      </c>
      <c r="K40" s="649"/>
      <c r="L40" s="649"/>
      <c r="M40" s="649">
        <v>0.14207348999999997</v>
      </c>
      <c r="N40" s="649">
        <v>0.100095516</v>
      </c>
      <c r="O40" s="649">
        <v>0.10769352929399999</v>
      </c>
      <c r="P40" s="649"/>
      <c r="Q40" s="649">
        <v>193.56685691364774</v>
      </c>
      <c r="R40" s="649">
        <v>194.57415305578004</v>
      </c>
      <c r="S40" s="649">
        <v>167.0565877095285</v>
      </c>
      <c r="T40" s="649">
        <v>183.06960867729524</v>
      </c>
      <c r="U40" s="649"/>
      <c r="V40" s="649">
        <v>47.723711790393004</v>
      </c>
      <c r="W40" s="649">
        <v>33.62294793416191</v>
      </c>
      <c r="X40" s="649">
        <v>36.17518619213973</v>
      </c>
      <c r="Y40" s="655">
        <v>345</v>
      </c>
      <c r="Z40" s="613"/>
      <c r="AA40" s="613"/>
      <c r="AB40" s="613"/>
      <c r="AC40" s="613"/>
      <c r="AD40" s="613"/>
      <c r="AE40" s="613"/>
      <c r="AF40" s="613"/>
      <c r="AG40" s="613"/>
      <c r="AH40" s="613"/>
      <c r="AI40" s="613"/>
      <c r="AJ40" s="613"/>
      <c r="AK40" s="613"/>
      <c r="AL40" s="613"/>
      <c r="AM40" s="613"/>
      <c r="AN40" s="613"/>
      <c r="AO40" s="613"/>
      <c r="AP40" s="613"/>
      <c r="AQ40" s="613"/>
      <c r="AR40" s="613"/>
      <c r="AS40" s="613"/>
      <c r="AT40" s="613"/>
      <c r="AU40" s="613"/>
      <c r="AV40" s="613"/>
      <c r="AW40" s="613"/>
      <c r="AX40" s="613"/>
      <c r="AY40" s="613"/>
      <c r="AZ40" s="613"/>
      <c r="BA40" s="613"/>
      <c r="BB40" s="613"/>
    </row>
    <row r="41" spans="1:54" ht="12.75">
      <c r="A41" s="613"/>
      <c r="B41" s="1182"/>
      <c r="C41" s="623" t="s">
        <v>131</v>
      </c>
      <c r="D41" s="623"/>
      <c r="E41" s="624">
        <v>0.1957606659357658</v>
      </c>
      <c r="F41" s="624">
        <v>3.09</v>
      </c>
      <c r="G41" s="624">
        <v>0.0633529663222543</v>
      </c>
      <c r="H41" s="624"/>
      <c r="I41" s="624">
        <v>34.78443786407766</v>
      </c>
      <c r="J41" s="624">
        <v>63.352966322254304</v>
      </c>
      <c r="K41" s="654"/>
      <c r="L41" s="654"/>
      <c r="M41" s="654">
        <v>0.1385514</v>
      </c>
      <c r="N41" s="654">
        <v>0.10089383999999998</v>
      </c>
      <c r="O41" s="654">
        <v>0.10748391299999997</v>
      </c>
      <c r="P41" s="654"/>
      <c r="Q41" s="654">
        <v>78.72141480217225</v>
      </c>
      <c r="R41" s="654">
        <v>67.97954566802271</v>
      </c>
      <c r="S41" s="654">
        <v>47.76993537310148</v>
      </c>
      <c r="T41" s="654">
        <v>59.57698621025235</v>
      </c>
      <c r="U41" s="654"/>
      <c r="V41" s="654">
        <v>44.83864077669903</v>
      </c>
      <c r="W41" s="654">
        <v>32.6517281553398</v>
      </c>
      <c r="X41" s="654">
        <v>34.78443786407767</v>
      </c>
      <c r="Y41" s="655">
        <v>345</v>
      </c>
      <c r="Z41" s="613"/>
      <c r="AA41" s="613"/>
      <c r="AB41" s="613"/>
      <c r="AC41" s="613"/>
      <c r="AD41" s="613"/>
      <c r="AE41" s="613"/>
      <c r="AF41" s="613"/>
      <c r="AG41" s="613"/>
      <c r="AH41" s="613"/>
      <c r="AI41" s="613"/>
      <c r="AJ41" s="613"/>
      <c r="AK41" s="613"/>
      <c r="AL41" s="613"/>
      <c r="AM41" s="613"/>
      <c r="AN41" s="613"/>
      <c r="AO41" s="613"/>
      <c r="AP41" s="613"/>
      <c r="AQ41" s="613"/>
      <c r="AR41" s="613"/>
      <c r="AS41" s="613"/>
      <c r="AT41" s="613"/>
      <c r="AU41" s="613"/>
      <c r="AV41" s="613"/>
      <c r="AW41" s="613"/>
      <c r="AX41" s="613"/>
      <c r="AY41" s="613"/>
      <c r="AZ41" s="613"/>
      <c r="BA41" s="613"/>
      <c r="BB41" s="613"/>
    </row>
    <row r="42" spans="1:54" ht="12.75">
      <c r="A42" s="613"/>
      <c r="B42" s="1182"/>
      <c r="C42" s="623" t="s">
        <v>132</v>
      </c>
      <c r="D42" s="623">
        <v>39753</v>
      </c>
      <c r="E42" s="627">
        <v>0.18790140191692947</v>
      </c>
      <c r="F42" s="627">
        <v>3.096</v>
      </c>
      <c r="G42" s="627">
        <v>0.060691667285829934</v>
      </c>
      <c r="H42" s="627"/>
      <c r="I42" s="627">
        <v>34.70486286821705</v>
      </c>
      <c r="J42" s="627">
        <v>60.691667285829936</v>
      </c>
      <c r="K42" s="649"/>
      <c r="L42" s="649"/>
      <c r="M42" s="649">
        <v>0.1385514</v>
      </c>
      <c r="N42" s="649">
        <v>0.10089383999999998</v>
      </c>
      <c r="O42" s="649">
        <v>0.10744625543999999</v>
      </c>
      <c r="P42" s="649"/>
      <c r="Q42" s="649">
        <v>276.0750863044336</v>
      </c>
      <c r="R42" s="649">
        <v>173.8343609752648</v>
      </c>
      <c r="S42" s="649">
        <v>157.6399299904539</v>
      </c>
      <c r="T42" s="649">
        <v>167.1533732480311</v>
      </c>
      <c r="U42" s="649"/>
      <c r="V42" s="649">
        <v>44.75174418604651</v>
      </c>
      <c r="W42" s="649">
        <v>32.58844961240309</v>
      </c>
      <c r="X42" s="649">
        <v>34.70486286821705</v>
      </c>
      <c r="Y42" s="655"/>
      <c r="Z42" s="613"/>
      <c r="AA42" s="613"/>
      <c r="AB42" s="613"/>
      <c r="AC42" s="613"/>
      <c r="AD42" s="613"/>
      <c r="AE42" s="613"/>
      <c r="AF42" s="613"/>
      <c r="AG42" s="613"/>
      <c r="AH42" s="613"/>
      <c r="AI42" s="613"/>
      <c r="AJ42" s="613"/>
      <c r="AK42" s="613"/>
      <c r="AL42" s="613"/>
      <c r="AM42" s="613"/>
      <c r="AN42" s="613"/>
      <c r="AO42" s="613"/>
      <c r="AP42" s="613"/>
      <c r="AQ42" s="613"/>
      <c r="AR42" s="613"/>
      <c r="AS42" s="613"/>
      <c r="AT42" s="613"/>
      <c r="AU42" s="613"/>
      <c r="AV42" s="613"/>
      <c r="AW42" s="613"/>
      <c r="AX42" s="613"/>
      <c r="AY42" s="613"/>
      <c r="AZ42" s="613"/>
      <c r="BA42" s="613"/>
      <c r="BB42" s="613"/>
    </row>
    <row r="43" spans="1:54" ht="13.5" thickBot="1">
      <c r="A43" s="613"/>
      <c r="B43" s="1183"/>
      <c r="C43" s="647" t="s">
        <v>133</v>
      </c>
      <c r="D43" s="647"/>
      <c r="E43" s="648">
        <v>0.2569582119612439</v>
      </c>
      <c r="F43" s="648">
        <v>3.142</v>
      </c>
      <c r="G43" s="648">
        <v>0.08178173518817439</v>
      </c>
      <c r="H43" s="648"/>
      <c r="I43" s="648">
        <v>31.275602291534053</v>
      </c>
      <c r="J43" s="648">
        <v>81.78173518817438</v>
      </c>
      <c r="K43" s="649"/>
      <c r="L43" s="649"/>
      <c r="M43" s="649">
        <v>0.127296</v>
      </c>
      <c r="N43" s="649">
        <v>0.09269759999999999</v>
      </c>
      <c r="O43" s="649">
        <v>0.09826794239999999</v>
      </c>
      <c r="P43" s="649"/>
      <c r="Q43" s="649">
        <v>106.84436132618194</v>
      </c>
      <c r="R43" s="649">
        <v>77.6534615222993</v>
      </c>
      <c r="S43" s="649">
        <v>73.1183301757118</v>
      </c>
      <c r="T43" s="649">
        <v>75.78605189226482</v>
      </c>
      <c r="U43" s="649"/>
      <c r="V43" s="649">
        <v>40.51432208784213</v>
      </c>
      <c r="W43" s="649">
        <v>29.50273711012094</v>
      </c>
      <c r="X43" s="649">
        <v>31.275602291534053</v>
      </c>
      <c r="Y43" s="655">
        <v>279</v>
      </c>
      <c r="Z43" s="613"/>
      <c r="AA43" s="613"/>
      <c r="AB43" s="613"/>
      <c r="AC43" s="613"/>
      <c r="AD43" s="613"/>
      <c r="AE43" s="613"/>
      <c r="AF43" s="613"/>
      <c r="AG43" s="613"/>
      <c r="AH43" s="613"/>
      <c r="AI43" s="613"/>
      <c r="AJ43" s="613"/>
      <c r="AK43" s="613"/>
      <c r="AL43" s="613"/>
      <c r="AM43" s="613"/>
      <c r="AN43" s="613"/>
      <c r="AO43" s="613"/>
      <c r="AP43" s="613"/>
      <c r="AQ43" s="613"/>
      <c r="AR43" s="613"/>
      <c r="AS43" s="613"/>
      <c r="AT43" s="613"/>
      <c r="AU43" s="613"/>
      <c r="AV43" s="613"/>
      <c r="AW43" s="613"/>
      <c r="AX43" s="613"/>
      <c r="AY43" s="613"/>
      <c r="AZ43" s="613"/>
      <c r="BA43" s="613"/>
      <c r="BB43" s="613"/>
    </row>
    <row r="44" spans="1:54" ht="12.75">
      <c r="A44" s="613"/>
      <c r="B44" s="1181">
        <v>2009</v>
      </c>
      <c r="C44" s="652" t="s">
        <v>115</v>
      </c>
      <c r="D44" s="652">
        <v>39814</v>
      </c>
      <c r="E44" s="653">
        <v>0.09321831149435178</v>
      </c>
      <c r="F44" s="653">
        <v>3.174</v>
      </c>
      <c r="G44" s="653">
        <v>0.029369348296897222</v>
      </c>
      <c r="H44" s="653"/>
      <c r="I44" s="653">
        <v>31.036588279773156</v>
      </c>
      <c r="J44" s="653">
        <v>29.369348296897222</v>
      </c>
      <c r="K44" s="649"/>
      <c r="L44" s="649"/>
      <c r="M44" s="649">
        <v>0.127296</v>
      </c>
      <c r="N44" s="649">
        <v>0.09269759999999999</v>
      </c>
      <c r="O44" s="649">
        <v>0.09851013119999999</v>
      </c>
      <c r="P44" s="649"/>
      <c r="Q44" s="649">
        <v>65.34930129327087</v>
      </c>
      <c r="R44" s="649">
        <v>32.05699127764555</v>
      </c>
      <c r="S44" s="649">
        <v>4.219396777468761</v>
      </c>
      <c r="T44" s="649">
        <v>20.563040643270416</v>
      </c>
      <c r="U44" s="649"/>
      <c r="V44" s="649">
        <v>40.10586011342155</v>
      </c>
      <c r="W44" s="649">
        <v>29.205293005671074</v>
      </c>
      <c r="X44" s="649">
        <v>31.036588279773152</v>
      </c>
      <c r="Y44" s="655"/>
      <c r="Z44" s="613"/>
      <c r="AA44" s="613"/>
      <c r="AB44" s="613"/>
      <c r="AC44" s="613"/>
      <c r="AD44" s="613"/>
      <c r="AE44" s="613"/>
      <c r="AF44" s="613"/>
      <c r="AG44" s="613"/>
      <c r="AH44" s="613"/>
      <c r="AI44" s="613"/>
      <c r="AJ44" s="613"/>
      <c r="AK44" s="613"/>
      <c r="AL44" s="613"/>
      <c r="AM44" s="613"/>
      <c r="AN44" s="613"/>
      <c r="AO44" s="613"/>
      <c r="AP44" s="613"/>
      <c r="AQ44" s="613"/>
      <c r="AR44" s="613"/>
      <c r="AS44" s="613"/>
      <c r="AT44" s="613"/>
      <c r="AU44" s="613"/>
      <c r="AV44" s="613"/>
      <c r="AW44" s="613"/>
      <c r="AX44" s="613"/>
      <c r="AY44" s="613"/>
      <c r="AZ44" s="613"/>
      <c r="BA44" s="613"/>
      <c r="BB44" s="613"/>
    </row>
    <row r="45" spans="1:54" ht="12.75">
      <c r="A45" s="613"/>
      <c r="B45" s="1182"/>
      <c r="C45" s="623" t="s">
        <v>120</v>
      </c>
      <c r="D45" s="623"/>
      <c r="E45" s="627">
        <v>0.14231726236619124</v>
      </c>
      <c r="F45" s="627">
        <v>3.251</v>
      </c>
      <c r="G45" s="627">
        <v>0.043776457202765684</v>
      </c>
      <c r="H45" s="627"/>
      <c r="I45" s="627">
        <v>30.418552322362345</v>
      </c>
      <c r="J45" s="627">
        <v>43.776457202765684</v>
      </c>
      <c r="K45" s="649"/>
      <c r="L45" s="649"/>
      <c r="M45" s="649">
        <v>0.127296</v>
      </c>
      <c r="N45" s="649">
        <v>0.09269759999999999</v>
      </c>
      <c r="O45" s="649">
        <v>0.09889071359999999</v>
      </c>
      <c r="P45" s="649"/>
      <c r="Q45" s="649">
        <v>73.57023426414848</v>
      </c>
      <c r="R45" s="649">
        <v>58.859415427246034</v>
      </c>
      <c r="S45" s="649">
        <v>4.357176150761024</v>
      </c>
      <c r="T45" s="649">
        <v>36.38666181411856</v>
      </c>
      <c r="U45" s="649"/>
      <c r="V45" s="649">
        <v>39.15595201476469</v>
      </c>
      <c r="W45" s="649">
        <v>28.513565056905566</v>
      </c>
      <c r="X45" s="655">
        <v>30.418552322362345</v>
      </c>
      <c r="Y45" s="613"/>
      <c r="Z45" s="613"/>
      <c r="AA45" s="613"/>
      <c r="AB45" s="613"/>
      <c r="AC45" s="613"/>
      <c r="AD45" s="613"/>
      <c r="AE45" s="613"/>
      <c r="AF45" s="613"/>
      <c r="AG45" s="613"/>
      <c r="AH45" s="613"/>
      <c r="AI45" s="613"/>
      <c r="AJ45" s="613"/>
      <c r="AK45" s="613"/>
      <c r="AL45" s="613"/>
      <c r="AM45" s="613"/>
      <c r="AN45" s="613"/>
      <c r="AO45" s="613"/>
      <c r="AP45" s="613"/>
      <c r="AQ45" s="613"/>
      <c r="AR45" s="613"/>
      <c r="AS45" s="613"/>
      <c r="AT45" s="613"/>
      <c r="AU45" s="613"/>
      <c r="AV45" s="613"/>
      <c r="AW45" s="613"/>
      <c r="AX45" s="613"/>
      <c r="AY45" s="613"/>
      <c r="AZ45" s="613"/>
      <c r="BA45" s="613"/>
      <c r="BB45" s="613"/>
    </row>
    <row r="46" spans="1:54" ht="12.75">
      <c r="A46" s="613"/>
      <c r="B46" s="1182"/>
      <c r="C46" s="623" t="s">
        <v>124</v>
      </c>
      <c r="D46" s="623">
        <v>39873</v>
      </c>
      <c r="E46" s="627">
        <v>0.07858838724077646</v>
      </c>
      <c r="F46" s="627">
        <v>3.161</v>
      </c>
      <c r="G46" s="627">
        <v>0.024861875115715425</v>
      </c>
      <c r="H46" s="627"/>
      <c r="I46" s="627">
        <v>33.13100124378769</v>
      </c>
      <c r="J46" s="627">
        <v>24.861875115715424</v>
      </c>
      <c r="K46" s="649"/>
      <c r="L46" s="649"/>
      <c r="M46" s="649">
        <v>0.13471455483870964</v>
      </c>
      <c r="N46" s="649">
        <v>0.09809982967741934</v>
      </c>
      <c r="O46" s="649">
        <v>0.10472709493161289</v>
      </c>
      <c r="P46" s="649"/>
      <c r="Q46" s="649">
        <v>51.07582127449828</v>
      </c>
      <c r="R46" s="649">
        <v>29.729496319089264</v>
      </c>
      <c r="S46" s="649">
        <v>2.3241601381574513</v>
      </c>
      <c r="T46" s="649">
        <v>18.455261305779718</v>
      </c>
      <c r="U46" s="649"/>
      <c r="V46" s="649">
        <v>42.61770162565949</v>
      </c>
      <c r="W46" s="649">
        <v>31.03442887612127</v>
      </c>
      <c r="X46" s="655">
        <v>33.13100124378769</v>
      </c>
      <c r="Y46" s="613"/>
      <c r="Z46" s="613"/>
      <c r="AA46" s="613"/>
      <c r="AB46" s="613"/>
      <c r="AC46" s="613"/>
      <c r="AD46" s="613"/>
      <c r="AE46" s="613"/>
      <c r="AF46" s="613"/>
      <c r="AG46" s="613"/>
      <c r="AH46" s="613"/>
      <c r="AI46" s="613"/>
      <c r="AJ46" s="613"/>
      <c r="AK46" s="613"/>
      <c r="AL46" s="613"/>
      <c r="AM46" s="613"/>
      <c r="AN46" s="613"/>
      <c r="AO46" s="613"/>
      <c r="AP46" s="613"/>
      <c r="AQ46" s="613"/>
      <c r="AR46" s="613"/>
      <c r="AS46" s="613"/>
      <c r="AT46" s="613"/>
      <c r="AU46" s="613"/>
      <c r="AV46" s="613"/>
      <c r="AW46" s="613"/>
      <c r="AX46" s="613"/>
      <c r="AY46" s="613"/>
      <c r="AZ46" s="613"/>
      <c r="BA46" s="613"/>
      <c r="BB46" s="613"/>
    </row>
    <row r="47" spans="1:54" ht="12.75">
      <c r="A47" s="613"/>
      <c r="B47" s="1182"/>
      <c r="C47" s="623" t="s">
        <v>125</v>
      </c>
      <c r="D47" s="623"/>
      <c r="E47" s="627">
        <v>0.0758169539722638</v>
      </c>
      <c r="F47" s="627">
        <v>2.995</v>
      </c>
      <c r="G47" s="627">
        <v>0.025314508838819298</v>
      </c>
      <c r="H47" s="627"/>
      <c r="I47" s="627">
        <v>34.91537949916526</v>
      </c>
      <c r="J47" s="627">
        <v>25.314508838819297</v>
      </c>
      <c r="K47" s="649"/>
      <c r="L47" s="649"/>
      <c r="M47" s="649">
        <v>0.13550939999999997</v>
      </c>
      <c r="N47" s="649">
        <v>0.09867863999999998</v>
      </c>
      <c r="O47" s="649">
        <v>0.10457156159999997</v>
      </c>
      <c r="P47" s="649"/>
      <c r="Q47" s="649">
        <v>55.31471669029877</v>
      </c>
      <c r="R47" s="649">
        <v>28.305285142139958</v>
      </c>
      <c r="S47" s="649">
        <v>3.812306131652766</v>
      </c>
      <c r="T47" s="649">
        <v>18.29686721653354</v>
      </c>
      <c r="U47" s="649"/>
      <c r="V47" s="649">
        <v>45.24520868113521</v>
      </c>
      <c r="W47" s="649">
        <v>32.94779298831385</v>
      </c>
      <c r="X47" s="649">
        <v>34.91537949916527</v>
      </c>
      <c r="Y47" s="655"/>
      <c r="Z47" s="613"/>
      <c r="AA47" s="613"/>
      <c r="AB47" s="613"/>
      <c r="AC47" s="613"/>
      <c r="AD47" s="613"/>
      <c r="AE47" s="613"/>
      <c r="AF47" s="613"/>
      <c r="AG47" s="613"/>
      <c r="AH47" s="613"/>
      <c r="AI47" s="613"/>
      <c r="AJ47" s="613"/>
      <c r="AK47" s="613"/>
      <c r="AL47" s="613"/>
      <c r="AM47" s="613"/>
      <c r="AN47" s="613"/>
      <c r="AO47" s="613"/>
      <c r="AP47" s="613"/>
      <c r="AQ47" s="613"/>
      <c r="AR47" s="613"/>
      <c r="AS47" s="613"/>
      <c r="AT47" s="613"/>
      <c r="AU47" s="613"/>
      <c r="AV47" s="613"/>
      <c r="AW47" s="613"/>
      <c r="AX47" s="613"/>
      <c r="AY47" s="613"/>
      <c r="AZ47" s="613"/>
      <c r="BA47" s="613"/>
      <c r="BB47" s="613"/>
    </row>
    <row r="48" spans="1:54" ht="12.75">
      <c r="A48" s="613"/>
      <c r="B48" s="1182"/>
      <c r="C48" s="623" t="s">
        <v>126</v>
      </c>
      <c r="D48" s="623">
        <v>39934</v>
      </c>
      <c r="E48" s="624">
        <v>0.085870631379132</v>
      </c>
      <c r="F48" s="625">
        <v>2.995</v>
      </c>
      <c r="G48" s="624">
        <v>0.028671329341947247</v>
      </c>
      <c r="H48" s="626"/>
      <c r="I48" s="624">
        <v>32.33561311863859</v>
      </c>
      <c r="J48" s="624">
        <v>28.671329341947246</v>
      </c>
      <c r="K48" s="630"/>
      <c r="L48" s="613"/>
      <c r="M48" s="630">
        <v>0.11153225806451614</v>
      </c>
      <c r="N48" s="630">
        <v>0.09313548387096773</v>
      </c>
      <c r="O48" s="631">
        <v>0.09684516129032258</v>
      </c>
      <c r="P48" s="613"/>
      <c r="Q48" s="632">
        <v>57.54399007635323</v>
      </c>
      <c r="R48" s="632">
        <v>29.992703181993807</v>
      </c>
      <c r="S48" s="632">
        <v>10.250499853082212</v>
      </c>
      <c r="T48" s="632">
        <v>21.857883418349726</v>
      </c>
      <c r="U48" s="613"/>
      <c r="V48" s="633">
        <v>37.239485163444456</v>
      </c>
      <c r="W48" s="633">
        <v>31.096989606333132</v>
      </c>
      <c r="X48" s="633">
        <v>32.33561311863859</v>
      </c>
      <c r="Y48" s="655"/>
      <c r="Z48" s="613"/>
      <c r="AA48" s="613"/>
      <c r="AB48" s="613"/>
      <c r="AC48" s="613"/>
      <c r="AD48" s="613"/>
      <c r="AE48" s="613"/>
      <c r="AF48" s="613"/>
      <c r="AG48" s="613"/>
      <c r="AH48" s="613"/>
      <c r="AI48" s="613"/>
      <c r="AJ48" s="613"/>
      <c r="AK48" s="613"/>
      <c r="AL48" s="613"/>
      <c r="AM48" s="613"/>
      <c r="AN48" s="613"/>
      <c r="AO48" s="613"/>
      <c r="AP48" s="613"/>
      <c r="AQ48" s="613"/>
      <c r="AR48" s="613"/>
      <c r="AS48" s="613"/>
      <c r="AT48" s="613"/>
      <c r="AU48" s="613"/>
      <c r="AV48" s="613"/>
      <c r="AW48" s="613"/>
      <c r="AX48" s="613"/>
      <c r="AY48" s="613"/>
      <c r="AZ48" s="613"/>
      <c r="BA48" s="613"/>
      <c r="BB48" s="613"/>
    </row>
    <row r="49" spans="1:54" ht="12.75">
      <c r="A49" s="613"/>
      <c r="B49" s="1182"/>
      <c r="C49" s="623" t="s">
        <v>127</v>
      </c>
      <c r="D49" s="623"/>
      <c r="E49" s="624">
        <v>0.19783514791323623</v>
      </c>
      <c r="F49" s="625">
        <v>3.011</v>
      </c>
      <c r="G49" s="624">
        <v>0.06570413414587718</v>
      </c>
      <c r="H49" s="626"/>
      <c r="I49" s="624">
        <v>32.015941547658585</v>
      </c>
      <c r="J49" s="624">
        <v>65.70413414587718</v>
      </c>
      <c r="K49" s="630"/>
      <c r="L49" s="613"/>
      <c r="M49" s="630">
        <v>0.111</v>
      </c>
      <c r="N49" s="630">
        <v>0.0926</v>
      </c>
      <c r="O49" s="631">
        <v>0.0964</v>
      </c>
      <c r="P49" s="613"/>
      <c r="Q49" s="632">
        <v>81.50276558149227</v>
      </c>
      <c r="R49" s="632">
        <v>67.08788952109262</v>
      </c>
      <c r="S49" s="632">
        <v>57.14924203328795</v>
      </c>
      <c r="T49" s="632">
        <v>63.01111388394694</v>
      </c>
      <c r="U49" s="613"/>
      <c r="V49" s="633">
        <v>36.86482896047825</v>
      </c>
      <c r="W49" s="633">
        <v>30.753902358020593</v>
      </c>
      <c r="X49" s="633">
        <v>32.015941547658585</v>
      </c>
      <c r="Y49" s="655"/>
      <c r="Z49" s="613"/>
      <c r="AA49" s="613"/>
      <c r="AB49" s="613"/>
      <c r="AC49" s="613"/>
      <c r="AD49" s="613"/>
      <c r="AE49" s="613"/>
      <c r="AF49" s="613"/>
      <c r="AG49" s="613"/>
      <c r="AH49" s="613"/>
      <c r="AI49" s="613"/>
      <c r="AJ49" s="613"/>
      <c r="AK49" s="613"/>
      <c r="AL49" s="613"/>
      <c r="AM49" s="613"/>
      <c r="AN49" s="613"/>
      <c r="AO49" s="613"/>
      <c r="AP49" s="613"/>
      <c r="AQ49" s="613"/>
      <c r="AR49" s="613"/>
      <c r="AS49" s="613"/>
      <c r="AT49" s="613"/>
      <c r="AU49" s="613"/>
      <c r="AV49" s="613"/>
      <c r="AW49" s="613"/>
      <c r="AX49" s="613"/>
      <c r="AY49" s="613"/>
      <c r="AZ49" s="613"/>
      <c r="BA49" s="613"/>
      <c r="BB49" s="613"/>
    </row>
    <row r="50" spans="1:54" ht="12.75">
      <c r="A50" s="613"/>
      <c r="B50" s="1182"/>
      <c r="C50" s="623" t="s">
        <v>128</v>
      </c>
      <c r="D50" s="623">
        <v>39995</v>
      </c>
      <c r="E50" s="624">
        <v>0.12312215581613645</v>
      </c>
      <c r="F50" s="625">
        <v>2.987</v>
      </c>
      <c r="G50" s="624">
        <v>0.041219335726861886</v>
      </c>
      <c r="H50" s="624"/>
      <c r="I50" s="624">
        <v>32.27318379645129</v>
      </c>
      <c r="J50" s="624">
        <v>41.219335726861885</v>
      </c>
      <c r="K50" s="630"/>
      <c r="L50" s="663"/>
      <c r="M50" s="630">
        <v>0.111</v>
      </c>
      <c r="N50" s="630">
        <v>0.0926</v>
      </c>
      <c r="O50" s="631">
        <v>0.0964</v>
      </c>
      <c r="P50" s="613"/>
      <c r="Q50" s="632">
        <v>49.31576684663895</v>
      </c>
      <c r="R50" s="632">
        <v>44.25149927975068</v>
      </c>
      <c r="S50" s="632">
        <v>31.996163896777265</v>
      </c>
      <c r="T50" s="632">
        <v>39.29089493581517</v>
      </c>
      <c r="U50" s="613"/>
      <c r="V50" s="633">
        <v>37.16103113491798</v>
      </c>
      <c r="W50" s="633">
        <v>31.001004352192837</v>
      </c>
      <c r="X50" s="633">
        <v>32.27318379645129</v>
      </c>
      <c r="Y50" s="655"/>
      <c r="Z50" s="613"/>
      <c r="AA50" s="613"/>
      <c r="AB50" s="613"/>
      <c r="AC50" s="613"/>
      <c r="AD50" s="613"/>
      <c r="AE50" s="613"/>
      <c r="AF50" s="613"/>
      <c r="AG50" s="613"/>
      <c r="AH50" s="613"/>
      <c r="AI50" s="613"/>
      <c r="AJ50" s="613"/>
      <c r="AK50" s="613"/>
      <c r="AL50" s="613"/>
      <c r="AM50" s="613"/>
      <c r="AN50" s="613"/>
      <c r="AO50" s="613"/>
      <c r="AP50" s="613"/>
      <c r="AQ50" s="613"/>
      <c r="AR50" s="613"/>
      <c r="AS50" s="613"/>
      <c r="AT50" s="613"/>
      <c r="AU50" s="613"/>
      <c r="AV50" s="613"/>
      <c r="AW50" s="613"/>
      <c r="AX50" s="613"/>
      <c r="AY50" s="613"/>
      <c r="AZ50" s="613"/>
      <c r="BA50" s="613"/>
      <c r="BB50" s="613"/>
    </row>
    <row r="51" spans="1:54" ht="12.75">
      <c r="A51" s="613"/>
      <c r="B51" s="1182"/>
      <c r="C51" s="623" t="s">
        <v>129</v>
      </c>
      <c r="D51" s="623"/>
      <c r="E51" s="624">
        <v>0.0998802966869281</v>
      </c>
      <c r="F51" s="625">
        <v>2.948</v>
      </c>
      <c r="G51" s="624">
        <v>0.03388069765499597</v>
      </c>
      <c r="H51" s="624"/>
      <c r="I51" s="624">
        <v>32.17927955530267</v>
      </c>
      <c r="J51" s="624">
        <v>33.88069765499597</v>
      </c>
      <c r="K51" s="630"/>
      <c r="L51" s="663"/>
      <c r="M51" s="630">
        <v>0.09293548387096774</v>
      </c>
      <c r="N51" s="630">
        <v>0.10750322580645161</v>
      </c>
      <c r="O51" s="631">
        <v>0.09486451612903227</v>
      </c>
      <c r="P51" s="613"/>
      <c r="Q51" s="632">
        <v>38.51782032718287</v>
      </c>
      <c r="R51" s="632">
        <v>35.2706023403925</v>
      </c>
      <c r="S51" s="632">
        <v>29.157548808738543</v>
      </c>
      <c r="T51" s="632">
        <v>32.74829654193415</v>
      </c>
      <c r="U51" s="613"/>
      <c r="V51" s="633">
        <v>31.524926686217007</v>
      </c>
      <c r="W51" s="633">
        <v>36.46649450693745</v>
      </c>
      <c r="X51" s="633">
        <v>32.17927955530267</v>
      </c>
      <c r="Y51" s="655"/>
      <c r="Z51" s="613"/>
      <c r="AA51" s="613"/>
      <c r="AB51" s="613"/>
      <c r="AC51" s="613"/>
      <c r="AD51" s="613"/>
      <c r="AE51" s="613"/>
      <c r="AF51" s="613"/>
      <c r="AG51" s="613"/>
      <c r="AH51" s="613"/>
      <c r="AI51" s="613"/>
      <c r="AJ51" s="613"/>
      <c r="AK51" s="613"/>
      <c r="AL51" s="613"/>
      <c r="AM51" s="613"/>
      <c r="AN51" s="613"/>
      <c r="AO51" s="613"/>
      <c r="AP51" s="613"/>
      <c r="AQ51" s="613"/>
      <c r="AR51" s="613"/>
      <c r="AS51" s="613"/>
      <c r="AT51" s="613"/>
      <c r="AU51" s="613"/>
      <c r="AV51" s="613"/>
      <c r="AW51" s="613"/>
      <c r="AX51" s="613"/>
      <c r="AY51" s="613"/>
      <c r="AZ51" s="613"/>
      <c r="BA51" s="613"/>
      <c r="BB51" s="613"/>
    </row>
    <row r="52" spans="1:54" ht="12.75">
      <c r="A52" s="613"/>
      <c r="B52" s="1182"/>
      <c r="C52" s="623" t="s">
        <v>135</v>
      </c>
      <c r="D52" s="623">
        <v>40057</v>
      </c>
      <c r="E52" s="624">
        <v>0.10450858019263708</v>
      </c>
      <c r="F52" s="625">
        <v>2.885</v>
      </c>
      <c r="G52" s="624">
        <v>0.03622481115862637</v>
      </c>
      <c r="H52" s="626"/>
      <c r="I52" s="624">
        <v>32.824956672443676</v>
      </c>
      <c r="J52" s="628">
        <v>36.22481115862637</v>
      </c>
      <c r="K52" s="629"/>
      <c r="L52" s="664"/>
      <c r="M52" s="630">
        <v>0.1091</v>
      </c>
      <c r="N52" s="630">
        <v>0.091</v>
      </c>
      <c r="O52" s="631">
        <v>0.0947</v>
      </c>
      <c r="P52" s="613"/>
      <c r="Q52" s="632">
        <v>39.143055249660875</v>
      </c>
      <c r="R52" s="632">
        <v>39.862963643544894</v>
      </c>
      <c r="S52" s="632">
        <v>29.353586361520776</v>
      </c>
      <c r="T52" s="632">
        <v>35.49001947623765</v>
      </c>
      <c r="U52" s="613"/>
      <c r="V52" s="633">
        <v>37.81629116117851</v>
      </c>
      <c r="W52" s="633">
        <v>31.542461005199307</v>
      </c>
      <c r="X52" s="633">
        <v>32.824956672443676</v>
      </c>
      <c r="Y52" s="655"/>
      <c r="Z52" s="613"/>
      <c r="AA52" s="613"/>
      <c r="AB52" s="613"/>
      <c r="AC52" s="613"/>
      <c r="AD52" s="613"/>
      <c r="AE52" s="613"/>
      <c r="AF52" s="613"/>
      <c r="AG52" s="613"/>
      <c r="AH52" s="613"/>
      <c r="AI52" s="613"/>
      <c r="AJ52" s="613"/>
      <c r="AK52" s="613"/>
      <c r="AL52" s="613"/>
      <c r="AM52" s="613"/>
      <c r="AN52" s="613"/>
      <c r="AO52" s="613"/>
      <c r="AP52" s="613"/>
      <c r="AQ52" s="613"/>
      <c r="AR52" s="613"/>
      <c r="AS52" s="613"/>
      <c r="AT52" s="613"/>
      <c r="AU52" s="613"/>
      <c r="AV52" s="613"/>
      <c r="AW52" s="613"/>
      <c r="AX52" s="613"/>
      <c r="AY52" s="613"/>
      <c r="AZ52" s="613"/>
      <c r="BA52" s="613"/>
      <c r="BB52" s="613"/>
    </row>
    <row r="53" spans="1:54" ht="12.75">
      <c r="A53" s="613"/>
      <c r="B53" s="1182"/>
      <c r="C53" s="623" t="s">
        <v>131</v>
      </c>
      <c r="D53" s="623"/>
      <c r="E53" s="624">
        <v>0.05749896795237375</v>
      </c>
      <c r="F53" s="625">
        <v>2.906</v>
      </c>
      <c r="G53" s="624">
        <v>0.01978629317012173</v>
      </c>
      <c r="H53" s="626"/>
      <c r="I53" s="624">
        <v>32.58774948382656</v>
      </c>
      <c r="J53" s="628">
        <v>19.78629317012173</v>
      </c>
      <c r="K53" s="629"/>
      <c r="L53" s="664"/>
      <c r="M53" s="630">
        <v>0.1091</v>
      </c>
      <c r="N53" s="630">
        <v>0.091</v>
      </c>
      <c r="O53" s="631">
        <v>0.0947</v>
      </c>
      <c r="P53" s="613"/>
      <c r="Q53" s="632">
        <v>25.632529460801138</v>
      </c>
      <c r="R53" s="632">
        <v>20.81771493459947</v>
      </c>
      <c r="S53" s="632">
        <v>14.904293715045577</v>
      </c>
      <c r="T53" s="632">
        <v>18.36950700307604</v>
      </c>
      <c r="U53" s="613"/>
      <c r="V53" s="633">
        <v>37.54301445285616</v>
      </c>
      <c r="W53" s="633">
        <v>31.314521679284237</v>
      </c>
      <c r="X53" s="633">
        <v>32.58774948382657</v>
      </c>
      <c r="Y53" s="655"/>
      <c r="Z53" s="613"/>
      <c r="AA53" s="613"/>
      <c r="AB53" s="613"/>
      <c r="AC53" s="613"/>
      <c r="AD53" s="613"/>
      <c r="AE53" s="613"/>
      <c r="AF53" s="613"/>
      <c r="AG53" s="613"/>
      <c r="AH53" s="613"/>
      <c r="AI53" s="613"/>
      <c r="AJ53" s="613"/>
      <c r="AK53" s="613"/>
      <c r="AL53" s="613"/>
      <c r="AM53" s="613"/>
      <c r="AN53" s="613"/>
      <c r="AO53" s="613"/>
      <c r="AP53" s="613"/>
      <c r="AQ53" s="613"/>
      <c r="AR53" s="613"/>
      <c r="AS53" s="613"/>
      <c r="AT53" s="613"/>
      <c r="AU53" s="613"/>
      <c r="AV53" s="613"/>
      <c r="AW53" s="613"/>
      <c r="AX53" s="613"/>
      <c r="AY53" s="613"/>
      <c r="AZ53" s="613"/>
      <c r="BA53" s="613"/>
      <c r="BB53" s="613"/>
    </row>
    <row r="54" spans="1:54" ht="12.75">
      <c r="A54" s="613"/>
      <c r="B54" s="1182"/>
      <c r="C54" s="623" t="s">
        <v>132</v>
      </c>
      <c r="D54" s="623">
        <v>40118</v>
      </c>
      <c r="E54" s="624">
        <v>0.058690834077752226</v>
      </c>
      <c r="F54" s="625">
        <v>2.881</v>
      </c>
      <c r="G54" s="624">
        <v>0.020371688329660614</v>
      </c>
      <c r="H54" s="626"/>
      <c r="I54" s="624">
        <v>32.676973658837596</v>
      </c>
      <c r="J54" s="628">
        <v>20.371688329660614</v>
      </c>
      <c r="K54" s="629"/>
      <c r="L54" s="664"/>
      <c r="M54" s="630">
        <v>0.1091</v>
      </c>
      <c r="N54" s="630">
        <v>0.091</v>
      </c>
      <c r="O54" s="631">
        <v>0.09414236111111111</v>
      </c>
      <c r="P54" s="613"/>
      <c r="Q54" s="632">
        <v>31.4845863703224</v>
      </c>
      <c r="R54" s="632">
        <v>19.989427842009412</v>
      </c>
      <c r="S54" s="632">
        <v>14.451925258512762</v>
      </c>
      <c r="T54" s="632">
        <v>17.687575671454777</v>
      </c>
      <c r="U54" s="613"/>
      <c r="V54" s="633">
        <v>37.86879555709823</v>
      </c>
      <c r="W54" s="633">
        <v>31.58625477264839</v>
      </c>
      <c r="X54" s="633">
        <v>32.6769736588376</v>
      </c>
      <c r="Y54" s="655"/>
      <c r="Z54" s="613"/>
      <c r="AA54" s="613"/>
      <c r="AB54" s="613"/>
      <c r="AC54" s="613"/>
      <c r="AD54" s="613"/>
      <c r="AE54" s="613"/>
      <c r="AF54" s="613"/>
      <c r="AG54" s="613"/>
      <c r="AH54" s="613"/>
      <c r="AI54" s="613"/>
      <c r="AJ54" s="613"/>
      <c r="AK54" s="613"/>
      <c r="AL54" s="613"/>
      <c r="AM54" s="613"/>
      <c r="AN54" s="613"/>
      <c r="AO54" s="613"/>
      <c r="AP54" s="613"/>
      <c r="AQ54" s="613"/>
      <c r="AR54" s="613"/>
      <c r="AS54" s="613"/>
      <c r="AT54" s="613"/>
      <c r="AU54" s="613"/>
      <c r="AV54" s="613"/>
      <c r="AW54" s="613"/>
      <c r="AX54" s="613"/>
      <c r="AY54" s="613"/>
      <c r="AZ54" s="613"/>
      <c r="BA54" s="613"/>
      <c r="BB54" s="613"/>
    </row>
    <row r="55" spans="1:54" ht="13.5" thickBot="1">
      <c r="A55" s="613"/>
      <c r="B55" s="1183"/>
      <c r="C55" s="647" t="s">
        <v>133</v>
      </c>
      <c r="D55" s="647"/>
      <c r="E55" s="657">
        <v>0.049847465932751335</v>
      </c>
      <c r="F55" s="665">
        <v>2.891</v>
      </c>
      <c r="G55" s="657">
        <v>0.01724229191724363</v>
      </c>
      <c r="H55" s="666"/>
      <c r="I55" s="657">
        <v>32.486805547806874</v>
      </c>
      <c r="J55" s="656">
        <v>17.24229191724363</v>
      </c>
      <c r="K55" s="629"/>
      <c r="L55" s="664"/>
      <c r="M55" s="630">
        <v>0.1091</v>
      </c>
      <c r="N55" s="630">
        <v>0.091</v>
      </c>
      <c r="O55" s="631">
        <v>0.09391935483870967</v>
      </c>
      <c r="P55" s="613"/>
      <c r="Q55" s="632">
        <v>43.79554758835157</v>
      </c>
      <c r="R55" s="632">
        <v>15.230231509207474</v>
      </c>
      <c r="S55" s="632">
        <v>5.122197113433074</v>
      </c>
      <c r="T55" s="632">
        <v>11.05939930125452</v>
      </c>
      <c r="U55" s="613"/>
      <c r="V55" s="633">
        <v>37.73780698720166</v>
      </c>
      <c r="W55" s="633">
        <v>31.476997578692497</v>
      </c>
      <c r="X55" s="633">
        <v>32.48680554780687</v>
      </c>
      <c r="Y55" s="655"/>
      <c r="Z55" s="613"/>
      <c r="AA55" s="613"/>
      <c r="AB55" s="613"/>
      <c r="AC55" s="613"/>
      <c r="AD55" s="613"/>
      <c r="AE55" s="613"/>
      <c r="AF55" s="613"/>
      <c r="AG55" s="613"/>
      <c r="AH55" s="613"/>
      <c r="AI55" s="613"/>
      <c r="AJ55" s="613"/>
      <c r="AK55" s="613"/>
      <c r="AL55" s="613"/>
      <c r="AM55" s="613"/>
      <c r="AN55" s="613"/>
      <c r="AO55" s="613"/>
      <c r="AP55" s="613"/>
      <c r="AQ55" s="613"/>
      <c r="AR55" s="613"/>
      <c r="AS55" s="613"/>
      <c r="AT55" s="613"/>
      <c r="AU55" s="613"/>
      <c r="AV55" s="613"/>
      <c r="AW55" s="613"/>
      <c r="AX55" s="613"/>
      <c r="AY55" s="613"/>
      <c r="AZ55" s="613"/>
      <c r="BA55" s="613"/>
      <c r="BB55" s="613"/>
    </row>
    <row r="56" spans="1:54" ht="12.75">
      <c r="A56" s="613"/>
      <c r="B56" s="1181">
        <v>2010</v>
      </c>
      <c r="C56" s="652" t="s">
        <v>115</v>
      </c>
      <c r="D56" s="652">
        <v>40179</v>
      </c>
      <c r="E56" s="659">
        <v>0.06614493676413108</v>
      </c>
      <c r="F56" s="660">
        <v>2.857</v>
      </c>
      <c r="G56" s="659">
        <v>0.023151885461718962</v>
      </c>
      <c r="H56" s="661"/>
      <c r="I56" s="659">
        <v>31.03709620964919</v>
      </c>
      <c r="J56" s="667">
        <v>23.151885461718962</v>
      </c>
      <c r="K56" s="629"/>
      <c r="L56" s="664"/>
      <c r="M56" s="630">
        <v>0.10289999999999999</v>
      </c>
      <c r="N56" s="630">
        <v>0.0858</v>
      </c>
      <c r="O56" s="631">
        <v>0.08867298387096774</v>
      </c>
      <c r="P56" s="613"/>
      <c r="Q56" s="632">
        <v>44.574993713619904</v>
      </c>
      <c r="R56" s="632">
        <v>26.771186003680885</v>
      </c>
      <c r="S56" s="632">
        <v>5.884843623917234</v>
      </c>
      <c r="T56" s="632">
        <v>18.197333952827044</v>
      </c>
      <c r="U56" s="613"/>
      <c r="V56" s="633">
        <v>36.016800840041995</v>
      </c>
      <c r="W56" s="633">
        <v>30.03150157507875</v>
      </c>
      <c r="X56" s="633">
        <v>31.037096209649192</v>
      </c>
      <c r="Y56" s="655"/>
      <c r="Z56" s="613"/>
      <c r="AA56" s="613"/>
      <c r="AB56" s="613"/>
      <c r="AC56" s="613"/>
      <c r="AD56" s="613"/>
      <c r="AE56" s="613"/>
      <c r="AF56" s="613"/>
      <c r="AG56" s="613"/>
      <c r="AH56" s="613"/>
      <c r="AI56" s="613"/>
      <c r="AJ56" s="613"/>
      <c r="AK56" s="613"/>
      <c r="AL56" s="613"/>
      <c r="AM56" s="613"/>
      <c r="AN56" s="613"/>
      <c r="AO56" s="613"/>
      <c r="AP56" s="613"/>
      <c r="AQ56" s="613"/>
      <c r="AR56" s="613"/>
      <c r="AS56" s="613"/>
      <c r="AT56" s="613"/>
      <c r="AU56" s="613"/>
      <c r="AV56" s="613"/>
      <c r="AW56" s="613"/>
      <c r="AX56" s="613"/>
      <c r="AY56" s="613"/>
      <c r="AZ56" s="613"/>
      <c r="BA56" s="613"/>
      <c r="BB56" s="613"/>
    </row>
    <row r="57" spans="1:54" ht="12.75">
      <c r="A57" s="613"/>
      <c r="B57" s="1182"/>
      <c r="C57" s="623" t="s">
        <v>120</v>
      </c>
      <c r="D57" s="623"/>
      <c r="E57" s="624">
        <v>0.06994005809958534</v>
      </c>
      <c r="F57" s="625">
        <v>2.849</v>
      </c>
      <c r="G57" s="624">
        <v>0.024548984941939394</v>
      </c>
      <c r="H57" s="626"/>
      <c r="I57" s="624">
        <v>31.18763475906333</v>
      </c>
      <c r="J57" s="628">
        <v>24.548984941939395</v>
      </c>
      <c r="K57" s="629"/>
      <c r="L57" s="664"/>
      <c r="M57" s="630">
        <v>0.10289999999999999</v>
      </c>
      <c r="N57" s="630">
        <v>0.0858</v>
      </c>
      <c r="O57" s="631">
        <v>0.08885357142857143</v>
      </c>
      <c r="P57" s="613"/>
      <c r="Q57" s="632">
        <v>46.283394876772654</v>
      </c>
      <c r="R57" s="632">
        <v>27.768064621140056</v>
      </c>
      <c r="S57" s="632">
        <v>7.033293064549172</v>
      </c>
      <c r="T57" s="632">
        <v>19.220685147165554</v>
      </c>
      <c r="U57" s="613"/>
      <c r="V57" s="633">
        <v>36.11793611793612</v>
      </c>
      <c r="W57" s="633">
        <v>30.115830115830114</v>
      </c>
      <c r="X57" s="633">
        <v>31.187634759063332</v>
      </c>
      <c r="Y57" s="655"/>
      <c r="Z57" s="613"/>
      <c r="AA57" s="613"/>
      <c r="AB57" s="613"/>
      <c r="AC57" s="613"/>
      <c r="AD57" s="613"/>
      <c r="AE57" s="613"/>
      <c r="AF57" s="613"/>
      <c r="AG57" s="613"/>
      <c r="AH57" s="613"/>
      <c r="AI57" s="613"/>
      <c r="AJ57" s="613"/>
      <c r="AK57" s="613"/>
      <c r="AL57" s="613"/>
      <c r="AM57" s="613"/>
      <c r="AN57" s="613"/>
      <c r="AO57" s="613"/>
      <c r="AP57" s="613"/>
      <c r="AQ57" s="613"/>
      <c r="AR57" s="613"/>
      <c r="AS57" s="613"/>
      <c r="AT57" s="613"/>
      <c r="AU57" s="613"/>
      <c r="AV57" s="613"/>
      <c r="AW57" s="613"/>
      <c r="AX57" s="613"/>
      <c r="AY57" s="613"/>
      <c r="AZ57" s="613"/>
      <c r="BA57" s="613"/>
      <c r="BB57" s="613"/>
    </row>
    <row r="58" spans="1:54" ht="12.75">
      <c r="A58" s="613"/>
      <c r="B58" s="1182"/>
      <c r="C58" s="623" t="s">
        <v>124</v>
      </c>
      <c r="D58" s="623">
        <v>40238</v>
      </c>
      <c r="E58" s="624">
        <v>0.06243084735265119</v>
      </c>
      <c r="F58" s="625">
        <v>2.842</v>
      </c>
      <c r="G58" s="624">
        <v>0.02196722285455707</v>
      </c>
      <c r="H58" s="626"/>
      <c r="I58" s="624">
        <v>31.281781344350865</v>
      </c>
      <c r="J58" s="628">
        <v>21.96722285455707</v>
      </c>
      <c r="K58" s="629"/>
      <c r="L58" s="664"/>
      <c r="M58" s="630">
        <v>0.10289999999999999</v>
      </c>
      <c r="N58" s="630">
        <v>0.0858</v>
      </c>
      <c r="O58" s="631">
        <v>0.08890282258064516</v>
      </c>
      <c r="P58" s="613"/>
      <c r="Q58" s="632">
        <v>44.870892184540594</v>
      </c>
      <c r="R58" s="632">
        <v>23.434913183398113</v>
      </c>
      <c r="S58" s="632">
        <v>5.8515017964509575</v>
      </c>
      <c r="T58" s="632">
        <v>16.14405106025243</v>
      </c>
      <c r="U58" s="613"/>
      <c r="V58" s="633">
        <v>36.206896551724135</v>
      </c>
      <c r="W58" s="633">
        <v>30.190007037297676</v>
      </c>
      <c r="X58" s="633">
        <v>31.28178134435087</v>
      </c>
      <c r="Y58" s="655"/>
      <c r="Z58" s="613"/>
      <c r="AA58" s="613"/>
      <c r="AB58" s="613"/>
      <c r="AC58" s="613"/>
      <c r="AD58" s="613"/>
      <c r="AE58" s="613"/>
      <c r="AF58" s="613"/>
      <c r="AG58" s="613"/>
      <c r="AH58" s="613"/>
      <c r="AI58" s="613"/>
      <c r="AJ58" s="613"/>
      <c r="AK58" s="613"/>
      <c r="AL58" s="613"/>
      <c r="AM58" s="613"/>
      <c r="AN58" s="613"/>
      <c r="AO58" s="613"/>
      <c r="AP58" s="613"/>
      <c r="AQ58" s="613"/>
      <c r="AR58" s="613"/>
      <c r="AS58" s="613"/>
      <c r="AT58" s="613"/>
      <c r="AU58" s="613"/>
      <c r="AV58" s="613"/>
      <c r="AW58" s="613"/>
      <c r="AX58" s="613"/>
      <c r="AY58" s="613"/>
      <c r="AZ58" s="613"/>
      <c r="BA58" s="613"/>
      <c r="BB58" s="613"/>
    </row>
    <row r="59" spans="1:54" ht="12.75">
      <c r="A59" s="613"/>
      <c r="B59" s="1182"/>
      <c r="C59" s="623" t="s">
        <v>125</v>
      </c>
      <c r="D59" s="623"/>
      <c r="E59" s="624">
        <v>0.04730502561474757</v>
      </c>
      <c r="F59" s="625">
        <v>2.849</v>
      </c>
      <c r="G59" s="624">
        <v>0.01660408059485699</v>
      </c>
      <c r="H59" s="626"/>
      <c r="I59" s="624">
        <v>31.074499824499817</v>
      </c>
      <c r="J59" s="628">
        <v>16.604080594856992</v>
      </c>
      <c r="K59" s="629"/>
      <c r="L59" s="664"/>
      <c r="M59" s="630">
        <v>0.10289999999999999</v>
      </c>
      <c r="N59" s="630">
        <v>0.0858</v>
      </c>
      <c r="O59" s="631">
        <v>0.08853124999999999</v>
      </c>
      <c r="P59" s="613"/>
      <c r="Q59" s="632">
        <v>33.44254538512569</v>
      </c>
      <c r="R59" s="632">
        <v>16.425263971160785</v>
      </c>
      <c r="S59" s="632">
        <v>7.099764044956516</v>
      </c>
      <c r="T59" s="632">
        <v>12.577906238873501</v>
      </c>
      <c r="U59" s="613"/>
      <c r="V59" s="633">
        <v>36.11793611793612</v>
      </c>
      <c r="W59" s="633">
        <v>30.115830115830114</v>
      </c>
      <c r="X59" s="633">
        <v>31.07449982449982</v>
      </c>
      <c r="Y59" s="655"/>
      <c r="Z59" s="613"/>
      <c r="AA59" s="613"/>
      <c r="AB59" s="613"/>
      <c r="AC59" s="613"/>
      <c r="AD59" s="613"/>
      <c r="AE59" s="613"/>
      <c r="AF59" s="613"/>
      <c r="AG59" s="613"/>
      <c r="AH59" s="613"/>
      <c r="AI59" s="613"/>
      <c r="AJ59" s="613"/>
      <c r="AK59" s="613"/>
      <c r="AL59" s="613"/>
      <c r="AM59" s="613"/>
      <c r="AN59" s="613"/>
      <c r="AO59" s="613"/>
      <c r="AP59" s="613"/>
      <c r="AQ59" s="613"/>
      <c r="AR59" s="613"/>
      <c r="AS59" s="613"/>
      <c r="AT59" s="613"/>
      <c r="AU59" s="613"/>
      <c r="AV59" s="613"/>
      <c r="AW59" s="613"/>
      <c r="AX59" s="613"/>
      <c r="AY59" s="613"/>
      <c r="AZ59" s="613"/>
      <c r="BA59" s="613"/>
      <c r="BB59" s="613"/>
    </row>
    <row r="60" spans="1:54" ht="12.75">
      <c r="A60" s="613"/>
      <c r="B60" s="1182"/>
      <c r="C60" s="623" t="s">
        <v>126</v>
      </c>
      <c r="D60" s="623">
        <v>40299</v>
      </c>
      <c r="E60" s="624">
        <v>0.05166713371435136</v>
      </c>
      <c r="F60" s="625">
        <v>2.845</v>
      </c>
      <c r="G60" s="624">
        <v>0.01816067968869995</v>
      </c>
      <c r="H60" s="626"/>
      <c r="I60" s="624">
        <v>28.854054462649053</v>
      </c>
      <c r="J60" s="628">
        <v>18.16067968869995</v>
      </c>
      <c r="K60" s="629"/>
      <c r="L60" s="664"/>
      <c r="M60" s="630">
        <v>0.0981</v>
      </c>
      <c r="N60" s="630">
        <v>0.0787</v>
      </c>
      <c r="O60" s="631">
        <v>0.08208978494623656</v>
      </c>
      <c r="P60" s="613"/>
      <c r="Q60" s="632">
        <v>24.98226134288631</v>
      </c>
      <c r="R60" s="632">
        <v>17.765064240938784</v>
      </c>
      <c r="S60" s="632">
        <v>14.831558831872126</v>
      </c>
      <c r="T60" s="632">
        <v>16.559768274204295</v>
      </c>
      <c r="U60" s="613"/>
      <c r="V60" s="633">
        <v>34.481546572934974</v>
      </c>
      <c r="W60" s="633">
        <v>27.66256590509666</v>
      </c>
      <c r="X60" s="633">
        <v>28.854054462649053</v>
      </c>
      <c r="Y60" s="655"/>
      <c r="Z60" s="613"/>
      <c r="AA60" s="613"/>
      <c r="AB60" s="613"/>
      <c r="AC60" s="613"/>
      <c r="AD60" s="613"/>
      <c r="AE60" s="613"/>
      <c r="AF60" s="613"/>
      <c r="AG60" s="613"/>
      <c r="AH60" s="613"/>
      <c r="AI60" s="613"/>
      <c r="AJ60" s="613"/>
      <c r="AK60" s="613"/>
      <c r="AL60" s="613"/>
      <c r="AM60" s="613"/>
      <c r="AN60" s="613"/>
      <c r="AO60" s="613"/>
      <c r="AP60" s="613"/>
      <c r="AQ60" s="613"/>
      <c r="AR60" s="613"/>
      <c r="AS60" s="613"/>
      <c r="AT60" s="613"/>
      <c r="AU60" s="613"/>
      <c r="AV60" s="613"/>
      <c r="AW60" s="613"/>
      <c r="AX60" s="613"/>
      <c r="AY60" s="613"/>
      <c r="AZ60" s="613"/>
      <c r="BA60" s="613"/>
      <c r="BB60" s="613"/>
    </row>
    <row r="61" spans="1:54" ht="12.75">
      <c r="A61" s="613"/>
      <c r="B61" s="1182"/>
      <c r="C61" s="623" t="s">
        <v>127</v>
      </c>
      <c r="D61" s="623"/>
      <c r="E61" s="624">
        <v>0.057761890081474775</v>
      </c>
      <c r="F61" s="625">
        <v>2.827</v>
      </c>
      <c r="G61" s="624">
        <v>0.02043222146497162</v>
      </c>
      <c r="H61" s="626"/>
      <c r="I61" s="624">
        <v>29.030086860826163</v>
      </c>
      <c r="J61" s="628">
        <v>20.432221464971622</v>
      </c>
      <c r="K61" s="629"/>
      <c r="L61" s="664"/>
      <c r="M61" s="630">
        <v>0.0981</v>
      </c>
      <c r="N61" s="630">
        <v>0.0787</v>
      </c>
      <c r="O61" s="631">
        <v>0.08206805555555556</v>
      </c>
      <c r="P61" s="613"/>
      <c r="Q61" s="632">
        <v>21.46365950671952</v>
      </c>
      <c r="R61" s="632">
        <v>21.034796719755477</v>
      </c>
      <c r="S61" s="632">
        <v>18.976756702017614</v>
      </c>
      <c r="T61" s="632">
        <v>20.18224407061089</v>
      </c>
      <c r="U61" s="613"/>
      <c r="V61" s="633">
        <v>34.70109656880086</v>
      </c>
      <c r="W61" s="633">
        <v>27.838698266713834</v>
      </c>
      <c r="X61" s="633">
        <v>29.030086860826163</v>
      </c>
      <c r="Y61" s="655"/>
      <c r="Z61" s="613"/>
      <c r="AA61" s="613"/>
      <c r="AB61" s="613"/>
      <c r="AC61" s="613"/>
      <c r="AD61" s="613"/>
      <c r="AE61" s="613"/>
      <c r="AF61" s="613"/>
      <c r="AG61" s="613"/>
      <c r="AH61" s="613"/>
      <c r="AI61" s="613"/>
      <c r="AJ61" s="613"/>
      <c r="AK61" s="613"/>
      <c r="AL61" s="613"/>
      <c r="AM61" s="613"/>
      <c r="AN61" s="613"/>
      <c r="AO61" s="613"/>
      <c r="AP61" s="613"/>
      <c r="AQ61" s="613"/>
      <c r="AR61" s="613"/>
      <c r="AS61" s="613"/>
      <c r="AT61" s="613"/>
      <c r="AU61" s="613"/>
      <c r="AV61" s="613"/>
      <c r="AW61" s="613"/>
      <c r="AX61" s="613"/>
      <c r="AY61" s="613"/>
      <c r="AZ61" s="613"/>
      <c r="BA61" s="613"/>
      <c r="BB61" s="613"/>
    </row>
    <row r="62" spans="1:54" ht="12.75">
      <c r="A62" s="613"/>
      <c r="B62" s="1182"/>
      <c r="C62" s="623" t="s">
        <v>128</v>
      </c>
      <c r="D62" s="623">
        <v>40360</v>
      </c>
      <c r="E62" s="624">
        <v>0.056145206767578795</v>
      </c>
      <c r="F62" s="625">
        <v>2.824</v>
      </c>
      <c r="G62" s="624">
        <v>0.019881447155658215</v>
      </c>
      <c r="H62" s="626"/>
      <c r="I62" s="624">
        <v>28.976286210362794</v>
      </c>
      <c r="J62" s="628">
        <v>19.881447155658215</v>
      </c>
      <c r="K62" s="629"/>
      <c r="L62" s="664"/>
      <c r="M62" s="630">
        <v>0.0981</v>
      </c>
      <c r="N62" s="630">
        <v>0.0787</v>
      </c>
      <c r="O62" s="631">
        <v>0.08182903225806452</v>
      </c>
      <c r="P62" s="613"/>
      <c r="Q62" s="632">
        <v>21.317843781656617</v>
      </c>
      <c r="R62" s="632">
        <v>20.740567326753307</v>
      </c>
      <c r="S62" s="632">
        <v>17.836560787365386</v>
      </c>
      <c r="T62" s="632">
        <v>19.545461965718157</v>
      </c>
      <c r="U62" s="613"/>
      <c r="V62" s="633">
        <v>34.73796033994335</v>
      </c>
      <c r="W62" s="633">
        <v>27.868271954674224</v>
      </c>
      <c r="X62" s="633">
        <v>28.976286210362794</v>
      </c>
      <c r="Y62" s="655"/>
      <c r="Z62" s="613"/>
      <c r="AA62" s="613"/>
      <c r="AB62" s="613"/>
      <c r="AC62" s="613"/>
      <c r="AD62" s="613"/>
      <c r="AE62" s="613"/>
      <c r="AF62" s="613"/>
      <c r="AG62" s="613"/>
      <c r="AH62" s="613"/>
      <c r="AI62" s="613"/>
      <c r="AJ62" s="613"/>
      <c r="AK62" s="613"/>
      <c r="AL62" s="613"/>
      <c r="AM62" s="613"/>
      <c r="AN62" s="613"/>
      <c r="AO62" s="613"/>
      <c r="AP62" s="613"/>
      <c r="AQ62" s="613"/>
      <c r="AR62" s="613"/>
      <c r="AS62" s="613"/>
      <c r="AT62" s="613"/>
      <c r="AU62" s="613"/>
      <c r="AV62" s="613"/>
      <c r="AW62" s="613"/>
      <c r="AX62" s="613"/>
      <c r="AY62" s="613"/>
      <c r="AZ62" s="613"/>
      <c r="BA62" s="613"/>
      <c r="BB62" s="613"/>
    </row>
    <row r="63" spans="1:54" ht="12.75">
      <c r="A63" s="613"/>
      <c r="B63" s="1182"/>
      <c r="C63" s="623" t="s">
        <v>129</v>
      </c>
      <c r="D63" s="623"/>
      <c r="E63" s="624">
        <v>0.0640553001393043</v>
      </c>
      <c r="F63" s="625">
        <v>2.798</v>
      </c>
      <c r="G63" s="624">
        <v>0.022893245224912186</v>
      </c>
      <c r="H63" s="626"/>
      <c r="I63" s="624">
        <v>29.838833312807868</v>
      </c>
      <c r="J63" s="628">
        <v>22.893245224912185</v>
      </c>
      <c r="K63" s="629"/>
      <c r="L63" s="664"/>
      <c r="M63" s="630">
        <v>0.1005623271889401</v>
      </c>
      <c r="N63" s="630">
        <v>0.0798741935483871</v>
      </c>
      <c r="O63" s="631">
        <v>0.08348905560923642</v>
      </c>
      <c r="P63" s="613"/>
      <c r="Q63" s="632">
        <v>24.587899207448007</v>
      </c>
      <c r="R63" s="632">
        <v>24.393126109597418</v>
      </c>
      <c r="S63" s="632">
        <v>19.792591053589362</v>
      </c>
      <c r="T63" s="632">
        <v>22.499645992605526</v>
      </c>
      <c r="U63" s="613"/>
      <c r="V63" s="633">
        <v>35.9407888452252</v>
      </c>
      <c r="W63" s="633">
        <v>28.54688833037423</v>
      </c>
      <c r="X63" s="633">
        <v>29.838833312807868</v>
      </c>
      <c r="Y63" s="655"/>
      <c r="Z63" s="613"/>
      <c r="AA63" s="613"/>
      <c r="AB63" s="613"/>
      <c r="AC63" s="613"/>
      <c r="AD63" s="613"/>
      <c r="AE63" s="613"/>
      <c r="AF63" s="613"/>
      <c r="AG63" s="613"/>
      <c r="AH63" s="613"/>
      <c r="AI63" s="613"/>
      <c r="AJ63" s="613"/>
      <c r="AK63" s="613"/>
      <c r="AL63" s="613"/>
      <c r="AM63" s="613"/>
      <c r="AN63" s="613"/>
      <c r="AO63" s="613"/>
      <c r="AP63" s="613"/>
      <c r="AQ63" s="613"/>
      <c r="AR63" s="613"/>
      <c r="AS63" s="613"/>
      <c r="AT63" s="613"/>
      <c r="AU63" s="613"/>
      <c r="AV63" s="613"/>
      <c r="AW63" s="613"/>
      <c r="AX63" s="613"/>
      <c r="AY63" s="613"/>
      <c r="AZ63" s="613"/>
      <c r="BA63" s="613"/>
      <c r="BB63" s="613"/>
    </row>
    <row r="64" spans="1:54" ht="12.75">
      <c r="A64" s="613"/>
      <c r="B64" s="1182"/>
      <c r="C64" s="623" t="s">
        <v>130</v>
      </c>
      <c r="D64" s="623">
        <v>40422</v>
      </c>
      <c r="E64" s="624">
        <v>0.06647327657315469</v>
      </c>
      <c r="F64" s="625">
        <v>2.788</v>
      </c>
      <c r="G64" s="624">
        <v>0.02384263865608131</v>
      </c>
      <c r="H64" s="626"/>
      <c r="I64" s="624">
        <v>29.97020962856688</v>
      </c>
      <c r="J64" s="628">
        <v>23.84263865608131</v>
      </c>
      <c r="K64" s="629"/>
      <c r="L64" s="664">
        <v>21.55788852073195</v>
      </c>
      <c r="M64" s="630">
        <v>0.09970000000000001</v>
      </c>
      <c r="N64" s="630">
        <v>0.08</v>
      </c>
      <c r="O64" s="631">
        <v>0.08355694444444445</v>
      </c>
      <c r="P64" s="613">
        <v>46.28311735507557</v>
      </c>
      <c r="Q64" s="632">
        <v>25.54107489756745</v>
      </c>
      <c r="R64" s="632">
        <v>24.75925702413946</v>
      </c>
      <c r="S64" s="632">
        <v>21.528246449162467</v>
      </c>
      <c r="T64" s="632">
        <v>23.408578221902452</v>
      </c>
      <c r="U64" s="613"/>
      <c r="V64" s="633">
        <v>35.76040172166428</v>
      </c>
      <c r="W64" s="633">
        <v>28.69440459110474</v>
      </c>
      <c r="X64" s="633">
        <v>29.970209628566877</v>
      </c>
      <c r="Y64" s="655"/>
      <c r="Z64" s="613"/>
      <c r="AA64" s="613"/>
      <c r="AB64" s="613"/>
      <c r="AC64" s="613"/>
      <c r="AD64" s="613"/>
      <c r="AE64" s="613"/>
      <c r="AF64" s="613"/>
      <c r="AG64" s="613"/>
      <c r="AH64" s="613"/>
      <c r="AI64" s="613"/>
      <c r="AJ64" s="613"/>
      <c r="AK64" s="613"/>
      <c r="AL64" s="613"/>
      <c r="AM64" s="613"/>
      <c r="AN64" s="613"/>
      <c r="AO64" s="613"/>
      <c r="AP64" s="613"/>
      <c r="AQ64" s="613"/>
      <c r="AR64" s="613"/>
      <c r="AS64" s="613"/>
      <c r="AT64" s="613"/>
      <c r="AU64" s="613"/>
      <c r="AV64" s="613"/>
      <c r="AW64" s="613"/>
      <c r="AX64" s="613"/>
      <c r="AY64" s="613"/>
      <c r="AZ64" s="613"/>
      <c r="BA64" s="613"/>
      <c r="BB64" s="613"/>
    </row>
    <row r="65" spans="1:54" ht="12.75">
      <c r="A65" s="613"/>
      <c r="B65" s="1182"/>
      <c r="C65" s="623" t="s">
        <v>131</v>
      </c>
      <c r="D65" s="623"/>
      <c r="E65" s="624">
        <v>0.06779188604104058</v>
      </c>
      <c r="F65" s="625">
        <v>2.798</v>
      </c>
      <c r="G65" s="624">
        <v>0.024228694081858678</v>
      </c>
      <c r="H65" s="626"/>
      <c r="I65" s="624">
        <v>29.82208874234284</v>
      </c>
      <c r="J65" s="628">
        <v>24.228694081858677</v>
      </c>
      <c r="K65" s="629"/>
      <c r="L65" s="664">
        <v>21.55788852073195</v>
      </c>
      <c r="M65" s="630">
        <v>0.09970000000000001</v>
      </c>
      <c r="N65" s="630">
        <v>0.08</v>
      </c>
      <c r="O65" s="631">
        <v>0.08344220430107527</v>
      </c>
      <c r="P65" s="613">
        <v>46.28311735507557</v>
      </c>
      <c r="Q65" s="632">
        <v>26.386348589396025</v>
      </c>
      <c r="R65" s="632">
        <v>24.926014556996144</v>
      </c>
      <c r="S65" s="632">
        <v>22.023719406671493</v>
      </c>
      <c r="T65" s="632">
        <v>23.72677059985505</v>
      </c>
      <c r="U65" s="613"/>
      <c r="V65" s="633">
        <v>35.63259471050751</v>
      </c>
      <c r="W65" s="633">
        <v>28.591851322373124</v>
      </c>
      <c r="X65" s="633">
        <v>29.82208874234284</v>
      </c>
      <c r="Y65" s="655"/>
      <c r="Z65" s="613"/>
      <c r="AA65" s="613"/>
      <c r="AB65" s="613"/>
      <c r="AC65" s="613"/>
      <c r="AD65" s="613"/>
      <c r="AE65" s="613"/>
      <c r="AF65" s="613"/>
      <c r="AG65" s="613"/>
      <c r="AH65" s="613"/>
      <c r="AI65" s="613"/>
      <c r="AJ65" s="613"/>
      <c r="AK65" s="613"/>
      <c r="AL65" s="613"/>
      <c r="AM65" s="613"/>
      <c r="AN65" s="613"/>
      <c r="AO65" s="613"/>
      <c r="AP65" s="613"/>
      <c r="AQ65" s="613"/>
      <c r="AR65" s="613"/>
      <c r="AS65" s="613"/>
      <c r="AT65" s="613"/>
      <c r="AU65" s="613"/>
      <c r="AV65" s="613"/>
      <c r="AW65" s="613"/>
      <c r="AX65" s="613"/>
      <c r="AY65" s="613"/>
      <c r="AZ65" s="613"/>
      <c r="BA65" s="613"/>
      <c r="BB65" s="613"/>
    </row>
    <row r="66" spans="1:54" ht="12.75">
      <c r="A66" s="613"/>
      <c r="B66" s="1182"/>
      <c r="C66" s="623" t="s">
        <v>132</v>
      </c>
      <c r="D66" s="623">
        <v>40483</v>
      </c>
      <c r="E66" s="624">
        <v>0.06542277168880252</v>
      </c>
      <c r="F66" s="625">
        <v>2.832</v>
      </c>
      <c r="G66" s="624">
        <v>0.023101261189548913</v>
      </c>
      <c r="H66" s="626"/>
      <c r="I66" s="624">
        <v>29.45626373195229</v>
      </c>
      <c r="J66" s="628">
        <v>23.101261189548914</v>
      </c>
      <c r="K66" s="629"/>
      <c r="L66" s="664">
        <v>21.703255388505656</v>
      </c>
      <c r="M66" s="630">
        <v>0.09970000000000001</v>
      </c>
      <c r="N66" s="630">
        <v>0.08</v>
      </c>
      <c r="O66" s="631">
        <v>0.08342013888888888</v>
      </c>
      <c r="P66" s="613">
        <v>46.03642764382488</v>
      </c>
      <c r="Q66" s="632">
        <v>25.822971782493074</v>
      </c>
      <c r="R66" s="632">
        <v>24.961720157616185</v>
      </c>
      <c r="S66" s="632">
        <v>18.896536306185432</v>
      </c>
      <c r="T66" s="632">
        <v>22.416125474128897</v>
      </c>
      <c r="U66" s="613"/>
      <c r="V66" s="633">
        <v>35.20480225988701</v>
      </c>
      <c r="W66" s="633">
        <v>28.24858757062147</v>
      </c>
      <c r="X66" s="633">
        <v>29.45626373195229</v>
      </c>
      <c r="Y66" s="655"/>
      <c r="Z66" s="613"/>
      <c r="AA66" s="613"/>
      <c r="AB66" s="613"/>
      <c r="AC66" s="613"/>
      <c r="AD66" s="613"/>
      <c r="AE66" s="613"/>
      <c r="AF66" s="613"/>
      <c r="AG66" s="613"/>
      <c r="AH66" s="613"/>
      <c r="AI66" s="613"/>
      <c r="AJ66" s="613"/>
      <c r="AK66" s="613"/>
      <c r="AL66" s="613"/>
      <c r="AM66" s="613"/>
      <c r="AN66" s="613"/>
      <c r="AO66" s="613"/>
      <c r="AP66" s="613"/>
      <c r="AQ66" s="613"/>
      <c r="AR66" s="613"/>
      <c r="AS66" s="613"/>
      <c r="AT66" s="613"/>
      <c r="AU66" s="613"/>
      <c r="AV66" s="613"/>
      <c r="AW66" s="613"/>
      <c r="AX66" s="613"/>
      <c r="AY66" s="613"/>
      <c r="AZ66" s="613"/>
      <c r="BA66" s="613"/>
      <c r="BB66" s="613"/>
    </row>
    <row r="67" spans="1:54" ht="13.5" thickBot="1">
      <c r="A67" s="613"/>
      <c r="B67" s="1183"/>
      <c r="C67" s="647" t="s">
        <v>133</v>
      </c>
      <c r="D67" s="647"/>
      <c r="E67" s="657">
        <v>0.052691259154911435</v>
      </c>
      <c r="F67" s="665">
        <v>2.809</v>
      </c>
      <c r="G67" s="657">
        <v>0.01875801322709556</v>
      </c>
      <c r="H67" s="666"/>
      <c r="I67" s="657">
        <v>29.611042846151197</v>
      </c>
      <c r="J67" s="656">
        <v>18.75801322709556</v>
      </c>
      <c r="K67" s="629"/>
      <c r="L67" s="664">
        <v>21.441690433520673</v>
      </c>
      <c r="M67" s="630">
        <v>0.09970000000000001</v>
      </c>
      <c r="N67" s="630">
        <v>0.08</v>
      </c>
      <c r="O67" s="631">
        <v>0.08317741935483872</v>
      </c>
      <c r="P67" s="613">
        <v>45.4349345261625</v>
      </c>
      <c r="Q67" s="632">
        <v>23.247879371309327</v>
      </c>
      <c r="R67" s="632">
        <v>19.183003760810774</v>
      </c>
      <c r="S67" s="632">
        <v>14.057375546481614</v>
      </c>
      <c r="T67" s="632">
        <v>17.06462412934179</v>
      </c>
      <c r="U67" s="613"/>
      <c r="V67" s="633">
        <v>35.493058027767894</v>
      </c>
      <c r="W67" s="633">
        <v>28.479886080455675</v>
      </c>
      <c r="X67" s="633">
        <v>29.6110428461512</v>
      </c>
      <c r="Y67" s="655"/>
      <c r="Z67" s="613"/>
      <c r="AA67" s="613"/>
      <c r="AB67" s="613"/>
      <c r="AC67" s="613"/>
      <c r="AD67" s="613"/>
      <c r="AE67" s="613"/>
      <c r="AF67" s="613"/>
      <c r="AG67" s="613"/>
      <c r="AH67" s="613"/>
      <c r="AI67" s="613"/>
      <c r="AJ67" s="613"/>
      <c r="AK67" s="613"/>
      <c r="AL67" s="613"/>
      <c r="AM67" s="613"/>
      <c r="AN67" s="613"/>
      <c r="AO67" s="613"/>
      <c r="AP67" s="613"/>
      <c r="AQ67" s="613"/>
      <c r="AR67" s="613"/>
      <c r="AS67" s="613"/>
      <c r="AT67" s="613"/>
      <c r="AU67" s="613"/>
      <c r="AV67" s="613"/>
      <c r="AW67" s="613"/>
      <c r="AX67" s="613"/>
      <c r="AY67" s="613"/>
      <c r="AZ67" s="613"/>
      <c r="BA67" s="613"/>
      <c r="BB67" s="613"/>
    </row>
    <row r="68" spans="1:54" ht="12.75">
      <c r="A68" s="613"/>
      <c r="B68" s="1181">
        <v>2011</v>
      </c>
      <c r="C68" s="652" t="s">
        <v>115</v>
      </c>
      <c r="D68" s="652">
        <v>40544</v>
      </c>
      <c r="E68" s="659">
        <v>0.048713932672003475</v>
      </c>
      <c r="F68" s="660">
        <v>2.773</v>
      </c>
      <c r="G68" s="659">
        <v>0.017567231399929127</v>
      </c>
      <c r="H68" s="661"/>
      <c r="I68" s="659">
        <v>30.043206573370714</v>
      </c>
      <c r="J68" s="667">
        <v>17.567231399929128</v>
      </c>
      <c r="K68" s="629"/>
      <c r="L68" s="664">
        <v>17.489153501685415</v>
      </c>
      <c r="M68" s="630">
        <v>0.09970000000000001</v>
      </c>
      <c r="N68" s="630">
        <v>0.08</v>
      </c>
      <c r="O68" s="631">
        <v>0.08330981182795699</v>
      </c>
      <c r="P68" s="613">
        <v>45.42992841691316</v>
      </c>
      <c r="Q68" s="632">
        <v>24.91093222502768</v>
      </c>
      <c r="R68" s="632">
        <v>19.29294048180995</v>
      </c>
      <c r="S68" s="632">
        <v>11.012501428754492</v>
      </c>
      <c r="T68" s="632">
        <v>15.884286715265619</v>
      </c>
      <c r="U68" s="613"/>
      <c r="V68" s="633">
        <v>35.95384060584205</v>
      </c>
      <c r="W68" s="633">
        <v>28.849621348719797</v>
      </c>
      <c r="X68" s="633">
        <v>30.043206573370714</v>
      </c>
      <c r="Y68" s="655"/>
      <c r="Z68" s="613"/>
      <c r="AA68" s="613"/>
      <c r="AB68" s="613"/>
      <c r="AC68" s="613"/>
      <c r="AD68" s="613"/>
      <c r="AE68" s="613"/>
      <c r="AF68" s="613"/>
      <c r="AG68" s="613"/>
      <c r="AH68" s="613"/>
      <c r="AI68" s="613"/>
      <c r="AJ68" s="613"/>
      <c r="AK68" s="613"/>
      <c r="AL68" s="613"/>
      <c r="AM68" s="613"/>
      <c r="AN68" s="613"/>
      <c r="AO68" s="613"/>
      <c r="AP68" s="613"/>
      <c r="AQ68" s="613"/>
      <c r="AR68" s="613"/>
      <c r="AS68" s="613"/>
      <c r="AT68" s="613"/>
      <c r="AU68" s="613"/>
      <c r="AV68" s="613"/>
      <c r="AW68" s="613"/>
      <c r="AX68" s="613"/>
      <c r="AY68" s="613"/>
      <c r="AZ68" s="613"/>
      <c r="BA68" s="613"/>
      <c r="BB68" s="613"/>
    </row>
    <row r="69" spans="1:54" ht="12.75">
      <c r="A69" s="613"/>
      <c r="B69" s="1182"/>
      <c r="C69" s="623" t="s">
        <v>120</v>
      </c>
      <c r="D69" s="623"/>
      <c r="E69" s="624">
        <v>0.060334185662621255</v>
      </c>
      <c r="F69" s="625">
        <v>2.775</v>
      </c>
      <c r="G69" s="624">
        <v>0.021742048887431083</v>
      </c>
      <c r="H69" s="626"/>
      <c r="I69" s="624">
        <v>30.096525096525095</v>
      </c>
      <c r="J69" s="628">
        <v>21.742048887431082</v>
      </c>
      <c r="K69" s="629"/>
      <c r="L69" s="664">
        <v>19.536263884733266</v>
      </c>
      <c r="M69" s="630">
        <v>0.09970000000000001</v>
      </c>
      <c r="N69" s="630">
        <v>0.08</v>
      </c>
      <c r="O69" s="631">
        <v>0.08351785714285714</v>
      </c>
      <c r="P69" s="613">
        <v>45.191590201522736</v>
      </c>
      <c r="Q69" s="632">
        <v>32.41873332972036</v>
      </c>
      <c r="R69" s="632">
        <v>25.14974088029851</v>
      </c>
      <c r="S69" s="632">
        <v>10.67174180110618</v>
      </c>
      <c r="T69" s="632">
        <v>19.14695235421005</v>
      </c>
      <c r="U69" s="613"/>
      <c r="V69" s="633">
        <v>35.92792792792793</v>
      </c>
      <c r="W69" s="633">
        <v>28.82882882882883</v>
      </c>
      <c r="X69" s="633">
        <v>30.0965250965251</v>
      </c>
      <c r="Y69" s="655"/>
      <c r="Z69" s="613"/>
      <c r="AA69" s="613"/>
      <c r="AB69" s="613"/>
      <c r="AC69" s="613"/>
      <c r="AD69" s="613"/>
      <c r="AE69" s="613"/>
      <c r="AF69" s="613"/>
      <c r="AG69" s="613"/>
      <c r="AH69" s="613"/>
      <c r="AI69" s="613"/>
      <c r="AJ69" s="613"/>
      <c r="AK69" s="613"/>
      <c r="AL69" s="613"/>
      <c r="AM69" s="613"/>
      <c r="AN69" s="613"/>
      <c r="AO69" s="613"/>
      <c r="AP69" s="613"/>
      <c r="AQ69" s="613"/>
      <c r="AR69" s="613"/>
      <c r="AS69" s="613"/>
      <c r="AT69" s="613"/>
      <c r="AU69" s="613"/>
      <c r="AV69" s="613"/>
      <c r="AW69" s="613"/>
      <c r="AX69" s="613"/>
      <c r="AY69" s="613"/>
      <c r="AZ69" s="613"/>
      <c r="BA69" s="613"/>
      <c r="BB69" s="613"/>
    </row>
    <row r="70" spans="1:54" ht="12.75">
      <c r="A70" s="613"/>
      <c r="B70" s="1182"/>
      <c r="C70" s="623" t="s">
        <v>124</v>
      </c>
      <c r="D70" s="623">
        <v>40603</v>
      </c>
      <c r="E70" s="624">
        <v>0.06066172534597207</v>
      </c>
      <c r="F70" s="625">
        <v>2.805</v>
      </c>
      <c r="G70" s="624">
        <v>0.021626283545801095</v>
      </c>
      <c r="H70" s="626"/>
      <c r="I70" s="624">
        <v>29.7948651601403</v>
      </c>
      <c r="J70" s="628">
        <v>21.626283545801094</v>
      </c>
      <c r="K70" s="629"/>
      <c r="L70" s="664">
        <v>20.264233751767396</v>
      </c>
      <c r="M70" s="630">
        <v>0.09970000000000001</v>
      </c>
      <c r="N70" s="630">
        <v>0.08</v>
      </c>
      <c r="O70" s="631">
        <v>0.08357459677419356</v>
      </c>
      <c r="P70" s="613">
        <v>44.931227115794655</v>
      </c>
      <c r="Q70" s="632">
        <v>34.790391398760995</v>
      </c>
      <c r="R70" s="632">
        <v>24.50285975859877</v>
      </c>
      <c r="S70" s="632">
        <v>9.705674171907765</v>
      </c>
      <c r="T70" s="632">
        <v>18.345505776383938</v>
      </c>
      <c r="U70" s="613"/>
      <c r="V70" s="633">
        <v>35.54367201426025</v>
      </c>
      <c r="W70" s="633">
        <v>28.520499108734402</v>
      </c>
      <c r="X70" s="633">
        <v>29.794865160140304</v>
      </c>
      <c r="Y70" s="655"/>
      <c r="Z70" s="613"/>
      <c r="AA70" s="613"/>
      <c r="AB70" s="613"/>
      <c r="AC70" s="613"/>
      <c r="AD70" s="613"/>
      <c r="AE70" s="613"/>
      <c r="AF70" s="613"/>
      <c r="AG70" s="613"/>
      <c r="AH70" s="613"/>
      <c r="AI70" s="613"/>
      <c r="AJ70" s="613"/>
      <c r="AK70" s="613"/>
      <c r="AL70" s="613"/>
      <c r="AM70" s="613"/>
      <c r="AN70" s="613"/>
      <c r="AO70" s="613"/>
      <c r="AP70" s="613"/>
      <c r="AQ70" s="613"/>
      <c r="AR70" s="613"/>
      <c r="AS70" s="613"/>
      <c r="AT70" s="613"/>
      <c r="AU70" s="613"/>
      <c r="AV70" s="613"/>
      <c r="AW70" s="613"/>
      <c r="AX70" s="613"/>
      <c r="AY70" s="613"/>
      <c r="AZ70" s="613"/>
      <c r="BA70" s="613"/>
      <c r="BB70" s="613"/>
    </row>
    <row r="71" spans="1:54" ht="12.75">
      <c r="A71" s="613"/>
      <c r="B71" s="1182"/>
      <c r="C71" s="623" t="s">
        <v>125</v>
      </c>
      <c r="D71" s="623"/>
      <c r="E71" s="624">
        <v>0.05053915856758178</v>
      </c>
      <c r="F71" s="625">
        <v>2.821</v>
      </c>
      <c r="G71" s="624">
        <v>0.017915334479823387</v>
      </c>
      <c r="H71" s="626"/>
      <c r="I71" s="624">
        <v>31.03474930087833</v>
      </c>
      <c r="J71" s="628">
        <v>17.915334479823386</v>
      </c>
      <c r="K71" s="629"/>
      <c r="L71" s="664">
        <v>19.678539888468528</v>
      </c>
      <c r="M71" s="630">
        <v>0.10501</v>
      </c>
      <c r="N71" s="630">
        <v>0.08423</v>
      </c>
      <c r="O71" s="631">
        <v>0.08754902777777777</v>
      </c>
      <c r="P71" s="613"/>
      <c r="Q71" s="632">
        <v>28.504131311093403</v>
      </c>
      <c r="R71" s="632">
        <v>20.00131214158887</v>
      </c>
      <c r="S71" s="632">
        <v>9.027383363408132</v>
      </c>
      <c r="T71" s="632">
        <v>15.48918261453112</v>
      </c>
      <c r="U71" s="613"/>
      <c r="V71" s="633">
        <v>37.224388514711094</v>
      </c>
      <c r="W71" s="633">
        <v>29.85820630981921</v>
      </c>
      <c r="X71" s="633">
        <v>31.034749300878328</v>
      </c>
      <c r="Y71" s="655"/>
      <c r="Z71" s="613"/>
      <c r="AA71" s="613"/>
      <c r="AB71" s="613"/>
      <c r="AC71" s="613"/>
      <c r="AD71" s="613"/>
      <c r="AE71" s="613"/>
      <c r="AF71" s="613"/>
      <c r="AG71" s="613"/>
      <c r="AH71" s="613"/>
      <c r="AI71" s="613"/>
      <c r="AJ71" s="613"/>
      <c r="AK71" s="613"/>
      <c r="AL71" s="613"/>
      <c r="AM71" s="613"/>
      <c r="AN71" s="613"/>
      <c r="AO71" s="613"/>
      <c r="AP71" s="613"/>
      <c r="AQ71" s="613"/>
      <c r="AR71" s="613"/>
      <c r="AS71" s="613"/>
      <c r="AT71" s="613"/>
      <c r="AU71" s="613"/>
      <c r="AV71" s="613"/>
      <c r="AW71" s="613"/>
      <c r="AX71" s="613"/>
      <c r="AY71" s="613"/>
      <c r="AZ71" s="613"/>
      <c r="BA71" s="613"/>
      <c r="BB71" s="613"/>
    </row>
    <row r="72" spans="1:54" ht="12.75">
      <c r="A72" s="613"/>
      <c r="B72" s="1182"/>
      <c r="C72" s="623" t="s">
        <v>126</v>
      </c>
      <c r="D72" s="623">
        <v>40664</v>
      </c>
      <c r="E72" s="624">
        <v>0.05198472219700549</v>
      </c>
      <c r="F72" s="625">
        <v>2.767</v>
      </c>
      <c r="G72" s="624">
        <v>0.018787395083847306</v>
      </c>
      <c r="H72" s="626"/>
      <c r="I72" s="624">
        <v>34.17484815402179</v>
      </c>
      <c r="J72" s="628">
        <v>18.787395083847304</v>
      </c>
      <c r="K72" s="629"/>
      <c r="L72" s="664">
        <v>19.49525882856816</v>
      </c>
      <c r="M72" s="630">
        <v>0.09793225806451614</v>
      </c>
      <c r="N72" s="630">
        <v>0.09384819096774193</v>
      </c>
      <c r="O72" s="631">
        <v>0.09456180484217828</v>
      </c>
      <c r="P72" s="613"/>
      <c r="Q72" s="632">
        <v>25.0173102413004</v>
      </c>
      <c r="R72" s="632">
        <v>19.334063094475294</v>
      </c>
      <c r="S72" s="632">
        <v>14.369618236639932</v>
      </c>
      <c r="T72" s="632">
        <v>17.269179665966952</v>
      </c>
      <c r="U72" s="613"/>
      <c r="V72" s="633">
        <v>35.392937500728635</v>
      </c>
      <c r="W72" s="633">
        <v>33.91694650081023</v>
      </c>
      <c r="X72" s="633">
        <v>34.17484815402179</v>
      </c>
      <c r="Y72" s="655"/>
      <c r="Z72" s="613"/>
      <c r="AA72" s="613"/>
      <c r="AB72" s="613"/>
      <c r="AC72" s="613"/>
      <c r="AD72" s="613"/>
      <c r="AE72" s="613"/>
      <c r="AF72" s="613"/>
      <c r="AG72" s="613"/>
      <c r="AH72" s="613"/>
      <c r="AI72" s="613"/>
      <c r="AJ72" s="613"/>
      <c r="AK72" s="613"/>
      <c r="AL72" s="613"/>
      <c r="AM72" s="613"/>
      <c r="AN72" s="613"/>
      <c r="AO72" s="613"/>
      <c r="AP72" s="613"/>
      <c r="AQ72" s="613"/>
      <c r="AR72" s="613"/>
      <c r="AS72" s="613"/>
      <c r="AT72" s="613"/>
      <c r="AU72" s="613"/>
      <c r="AV72" s="613"/>
      <c r="AW72" s="613"/>
      <c r="AX72" s="613"/>
      <c r="AY72" s="613"/>
      <c r="AZ72" s="613"/>
      <c r="BA72" s="613"/>
      <c r="BB72" s="613"/>
    </row>
    <row r="73" spans="1:54" ht="12.75">
      <c r="A73" s="613"/>
      <c r="B73" s="1182"/>
      <c r="C73" s="623" t="s">
        <v>127</v>
      </c>
      <c r="D73" s="623"/>
      <c r="E73" s="627">
        <v>0.07110378484154557</v>
      </c>
      <c r="F73" s="627">
        <v>2.75</v>
      </c>
      <c r="G73" s="627">
        <v>0.025855921760562027</v>
      </c>
      <c r="H73" s="627"/>
      <c r="I73" s="627">
        <v>34.41270053030303</v>
      </c>
      <c r="J73" s="627">
        <v>25.855921760562026</v>
      </c>
      <c r="K73" s="649"/>
      <c r="L73" s="649">
        <v>20.5573814840961</v>
      </c>
      <c r="M73" s="649">
        <v>0.09804921</v>
      </c>
      <c r="N73" s="649">
        <v>0.09391764</v>
      </c>
      <c r="O73" s="649">
        <v>0.09463492645833332</v>
      </c>
      <c r="P73" s="649"/>
      <c r="Q73" s="649">
        <v>29.4879425059955</v>
      </c>
      <c r="R73" s="649">
        <v>27.896330879397134</v>
      </c>
      <c r="S73" s="649">
        <v>20.87454017120993</v>
      </c>
      <c r="T73" s="649">
        <v>24.979963326666148</v>
      </c>
      <c r="U73" s="649"/>
      <c r="V73" s="649">
        <v>35.65425818181818</v>
      </c>
      <c r="W73" s="649">
        <v>34.15186909090909</v>
      </c>
      <c r="X73" s="649">
        <v>34.41270053030303</v>
      </c>
      <c r="Y73" s="655"/>
      <c r="Z73" s="613"/>
      <c r="AA73" s="613"/>
      <c r="AB73" s="613"/>
      <c r="AC73" s="613"/>
      <c r="AD73" s="613"/>
      <c r="AE73" s="613"/>
      <c r="AF73" s="613"/>
      <c r="AG73" s="613"/>
      <c r="AH73" s="613"/>
      <c r="AI73" s="613"/>
      <c r="AJ73" s="613"/>
      <c r="AK73" s="613"/>
      <c r="AL73" s="613"/>
      <c r="AM73" s="613"/>
      <c r="AN73" s="613"/>
      <c r="AO73" s="613"/>
      <c r="AP73" s="613"/>
      <c r="AQ73" s="613"/>
      <c r="AR73" s="613"/>
      <c r="AS73" s="613"/>
      <c r="AT73" s="613"/>
      <c r="AU73" s="613"/>
      <c r="AV73" s="613"/>
      <c r="AW73" s="613"/>
      <c r="AX73" s="613"/>
      <c r="AY73" s="613"/>
      <c r="AZ73" s="613"/>
      <c r="BA73" s="613"/>
      <c r="BB73" s="613"/>
    </row>
    <row r="74" spans="1:54" ht="12.75">
      <c r="A74" s="613"/>
      <c r="B74" s="1182"/>
      <c r="C74" s="623" t="s">
        <v>128</v>
      </c>
      <c r="D74" s="623">
        <v>40725</v>
      </c>
      <c r="E74" s="627">
        <v>0.05598652726443195</v>
      </c>
      <c r="F74" s="627">
        <v>2.738</v>
      </c>
      <c r="G74" s="627">
        <v>0.020447964669259296</v>
      </c>
      <c r="H74" s="627"/>
      <c r="I74" s="627">
        <v>34.54493143099507</v>
      </c>
      <c r="J74" s="627">
        <v>20.447964669259296</v>
      </c>
      <c r="K74" s="649"/>
      <c r="L74" s="649">
        <v>20.541565327215988</v>
      </c>
      <c r="M74" s="649">
        <v>0.09804921</v>
      </c>
      <c r="N74" s="649">
        <v>0.09391764</v>
      </c>
      <c r="O74" s="649">
        <v>0.0945840222580645</v>
      </c>
      <c r="P74" s="649"/>
      <c r="Q74" s="649">
        <v>25.96211829393523</v>
      </c>
      <c r="R74" s="649">
        <v>22.35644241253015</v>
      </c>
      <c r="S74" s="649">
        <v>14.691854892797782</v>
      </c>
      <c r="T74" s="649">
        <v>19.225183984121603</v>
      </c>
      <c r="U74" s="649"/>
      <c r="V74" s="649">
        <v>35.810522279035794</v>
      </c>
      <c r="W74" s="649">
        <v>34.30154857560263</v>
      </c>
      <c r="X74" s="649">
        <v>34.54493143099507</v>
      </c>
      <c r="Y74" s="655"/>
      <c r="Z74" s="613"/>
      <c r="AA74" s="613"/>
      <c r="AB74" s="613"/>
      <c r="AC74" s="613"/>
      <c r="AD74" s="613"/>
      <c r="AE74" s="613"/>
      <c r="AF74" s="613"/>
      <c r="AG74" s="613"/>
      <c r="AH74" s="613"/>
      <c r="AI74" s="613"/>
      <c r="AJ74" s="613"/>
      <c r="AK74" s="613"/>
      <c r="AL74" s="613"/>
      <c r="AM74" s="613"/>
      <c r="AN74" s="613"/>
      <c r="AO74" s="613"/>
      <c r="AP74" s="613"/>
      <c r="AQ74" s="613"/>
      <c r="AR74" s="613"/>
      <c r="AS74" s="613"/>
      <c r="AT74" s="613"/>
      <c r="AU74" s="613"/>
      <c r="AV74" s="613"/>
      <c r="AW74" s="613"/>
      <c r="AX74" s="613"/>
      <c r="AY74" s="613"/>
      <c r="AZ74" s="613"/>
      <c r="BA74" s="613"/>
      <c r="BB74" s="613"/>
    </row>
    <row r="75" spans="1:54" ht="12.75">
      <c r="A75" s="613"/>
      <c r="B75" s="1182"/>
      <c r="C75" s="623" t="s">
        <v>129</v>
      </c>
      <c r="D75" s="623"/>
      <c r="E75" s="627">
        <v>0.08593792412650697</v>
      </c>
      <c r="F75" s="627">
        <v>2.727</v>
      </c>
      <c r="G75" s="627">
        <v>0.03151372355207443</v>
      </c>
      <c r="H75" s="627"/>
      <c r="I75" s="627">
        <v>34.70464030542839</v>
      </c>
      <c r="J75" s="627">
        <v>31.513723552074428</v>
      </c>
      <c r="K75" s="649"/>
      <c r="L75" s="649">
        <v>21.949221133480982</v>
      </c>
      <c r="M75" s="649">
        <v>0.09804921</v>
      </c>
      <c r="N75" s="649">
        <v>0.09391764</v>
      </c>
      <c r="O75" s="649">
        <v>0.09463955411290323</v>
      </c>
      <c r="P75" s="649"/>
      <c r="Q75" s="649">
        <v>39.0457897747572</v>
      </c>
      <c r="R75" s="649">
        <v>35.54196819503658</v>
      </c>
      <c r="S75" s="649">
        <v>21.440079203036973</v>
      </c>
      <c r="T75" s="649">
        <v>29.695650583857375</v>
      </c>
      <c r="U75" s="649"/>
      <c r="V75" s="649">
        <v>35.95497249724973</v>
      </c>
      <c r="W75" s="649">
        <v>34.43991199119912</v>
      </c>
      <c r="X75" s="649">
        <v>34.70464030542839</v>
      </c>
      <c r="Y75" s="655"/>
      <c r="Z75" s="613"/>
      <c r="AA75" s="613"/>
      <c r="AB75" s="613"/>
      <c r="AC75" s="613"/>
      <c r="AD75" s="613"/>
      <c r="AE75" s="613"/>
      <c r="AF75" s="613"/>
      <c r="AG75" s="613"/>
      <c r="AH75" s="613"/>
      <c r="AI75" s="613"/>
      <c r="AJ75" s="613"/>
      <c r="AK75" s="613"/>
      <c r="AL75" s="613"/>
      <c r="AM75" s="613"/>
      <c r="AN75" s="613"/>
      <c r="AO75" s="613"/>
      <c r="AP75" s="613"/>
      <c r="AQ75" s="613"/>
      <c r="AR75" s="613"/>
      <c r="AS75" s="613"/>
      <c r="AT75" s="613"/>
      <c r="AU75" s="613"/>
      <c r="AV75" s="613"/>
      <c r="AW75" s="613"/>
      <c r="AX75" s="613"/>
      <c r="AY75" s="613"/>
      <c r="AZ75" s="613"/>
      <c r="BA75" s="613"/>
      <c r="BB75" s="613"/>
    </row>
    <row r="76" spans="1:54" ht="12.75">
      <c r="A76" s="613"/>
      <c r="B76" s="1182"/>
      <c r="C76" s="623" t="s">
        <v>130</v>
      </c>
      <c r="D76" s="623">
        <v>40787</v>
      </c>
      <c r="E76" s="627">
        <v>0.09324344841506312</v>
      </c>
      <c r="F76" s="627">
        <v>2.773</v>
      </c>
      <c r="G76" s="627">
        <v>0.033625477250293224</v>
      </c>
      <c r="H76" s="627"/>
      <c r="I76" s="627">
        <v>34.137619154946506</v>
      </c>
      <c r="J76" s="627">
        <v>33.62547725029322</v>
      </c>
      <c r="K76" s="649"/>
      <c r="L76" s="649">
        <v>23.246452269240557</v>
      </c>
      <c r="M76" s="649">
        <v>0.09804921</v>
      </c>
      <c r="N76" s="649">
        <v>0.09391764</v>
      </c>
      <c r="O76" s="649">
        <v>0.09466361791666666</v>
      </c>
      <c r="P76" s="649"/>
      <c r="Q76" s="649">
        <v>44.283733536517715</v>
      </c>
      <c r="R76" s="649">
        <v>38.45217001824838</v>
      </c>
      <c r="S76" s="649">
        <v>20.45692858973491</v>
      </c>
      <c r="T76" s="649">
        <v>30.930430392347482</v>
      </c>
      <c r="U76" s="649"/>
      <c r="V76" s="649">
        <v>35.35853227551388</v>
      </c>
      <c r="W76" s="649">
        <v>33.86860439956725</v>
      </c>
      <c r="X76" s="649">
        <v>34.137619154946506</v>
      </c>
      <c r="Y76" s="655"/>
      <c r="Z76" s="613"/>
      <c r="AA76" s="613"/>
      <c r="AB76" s="613"/>
      <c r="AC76" s="613"/>
      <c r="AD76" s="613"/>
      <c r="AE76" s="613"/>
      <c r="AF76" s="613"/>
      <c r="AG76" s="613"/>
      <c r="AH76" s="613"/>
      <c r="AI76" s="613"/>
      <c r="AJ76" s="613"/>
      <c r="AK76" s="613"/>
      <c r="AL76" s="613"/>
      <c r="AM76" s="613"/>
      <c r="AN76" s="613"/>
      <c r="AO76" s="613"/>
      <c r="AP76" s="613"/>
      <c r="AQ76" s="613"/>
      <c r="AR76" s="613"/>
      <c r="AS76" s="613"/>
      <c r="AT76" s="613"/>
      <c r="AU76" s="613"/>
      <c r="AV76" s="613"/>
      <c r="AW76" s="613"/>
      <c r="AX76" s="613"/>
      <c r="AY76" s="613"/>
      <c r="AZ76" s="613"/>
      <c r="BA76" s="613"/>
      <c r="BB76" s="613"/>
    </row>
    <row r="77" spans="1:54" ht="12.75">
      <c r="A77" s="613"/>
      <c r="B77" s="1182"/>
      <c r="C77" s="623" t="s">
        <v>131</v>
      </c>
      <c r="D77" s="623"/>
      <c r="E77" s="627">
        <v>0.07328301115144023</v>
      </c>
      <c r="F77" s="627">
        <v>2.708</v>
      </c>
      <c r="G77" s="627">
        <v>0.027061673246469804</v>
      </c>
      <c r="H77" s="627"/>
      <c r="I77" s="627">
        <v>34.94813667389336</v>
      </c>
      <c r="J77" s="627">
        <v>27.061673246469805</v>
      </c>
      <c r="K77" s="649"/>
      <c r="L77" s="649">
        <v>23.641143742409056</v>
      </c>
      <c r="M77" s="649">
        <v>0.09804921</v>
      </c>
      <c r="N77" s="649">
        <v>0.09391764</v>
      </c>
      <c r="O77" s="649">
        <v>0.09463955411290323</v>
      </c>
      <c r="P77" s="649"/>
      <c r="Q77" s="649">
        <v>37.049424417334315</v>
      </c>
      <c r="R77" s="649">
        <v>30.512559528340798</v>
      </c>
      <c r="S77" s="649">
        <v>16.53071601275428</v>
      </c>
      <c r="T77" s="649">
        <v>24.749581216667362</v>
      </c>
      <c r="U77" s="649"/>
      <c r="V77" s="649">
        <v>36.207241506646966</v>
      </c>
      <c r="W77" s="649">
        <v>34.681550960118166</v>
      </c>
      <c r="X77" s="649">
        <v>34.948136673893366</v>
      </c>
      <c r="Y77" s="655"/>
      <c r="Z77" s="613"/>
      <c r="AA77" s="613"/>
      <c r="AB77" s="613"/>
      <c r="AC77" s="613"/>
      <c r="AD77" s="613"/>
      <c r="AE77" s="613"/>
      <c r="AF77" s="613"/>
      <c r="AG77" s="613"/>
      <c r="AH77" s="613"/>
      <c r="AI77" s="613"/>
      <c r="AJ77" s="613"/>
      <c r="AK77" s="613"/>
      <c r="AL77" s="613"/>
      <c r="AM77" s="613"/>
      <c r="AN77" s="613"/>
      <c r="AO77" s="613"/>
      <c r="AP77" s="613"/>
      <c r="AQ77" s="613"/>
      <c r="AR77" s="613"/>
      <c r="AS77" s="613"/>
      <c r="AT77" s="613"/>
      <c r="AU77" s="613"/>
      <c r="AV77" s="613"/>
      <c r="AW77" s="613"/>
      <c r="AX77" s="613"/>
      <c r="AY77" s="613"/>
      <c r="AZ77" s="613"/>
      <c r="BA77" s="613"/>
      <c r="BB77" s="613"/>
    </row>
    <row r="78" spans="1:54" ht="12.75">
      <c r="A78" s="613"/>
      <c r="B78" s="1182"/>
      <c r="C78" s="623" t="s">
        <v>132</v>
      </c>
      <c r="D78" s="623">
        <v>40848</v>
      </c>
      <c r="E78" s="627">
        <v>0.07715657660783898</v>
      </c>
      <c r="F78" s="627">
        <v>2.7</v>
      </c>
      <c r="G78" s="627">
        <v>0.028576509854755176</v>
      </c>
      <c r="H78" s="627"/>
      <c r="I78" s="627">
        <v>35.049972762345675</v>
      </c>
      <c r="J78" s="627">
        <v>28.576509854755177</v>
      </c>
      <c r="K78" s="649"/>
      <c r="L78" s="649">
        <v>23.876667417638043</v>
      </c>
      <c r="M78" s="649">
        <v>0.09804921</v>
      </c>
      <c r="N78" s="649">
        <v>0.09391764</v>
      </c>
      <c r="O78" s="649">
        <v>0.09463492645833332</v>
      </c>
      <c r="P78" s="649"/>
      <c r="Q78" s="649">
        <v>35.84532441039007</v>
      </c>
      <c r="R78" s="649">
        <v>33.92667661110453</v>
      </c>
      <c r="S78" s="649">
        <v>16.81971458324836</v>
      </c>
      <c r="T78" s="649">
        <v>26.83151352277337</v>
      </c>
      <c r="U78" s="649"/>
      <c r="V78" s="649">
        <v>36.31452222222222</v>
      </c>
      <c r="W78" s="649">
        <v>34.7843111111111</v>
      </c>
      <c r="X78" s="649">
        <v>35.049972762345675</v>
      </c>
      <c r="Y78" s="655"/>
      <c r="Z78" s="613"/>
      <c r="AA78" s="613"/>
      <c r="AB78" s="613"/>
      <c r="AC78" s="613"/>
      <c r="AD78" s="613"/>
      <c r="AE78" s="613"/>
      <c r="AF78" s="613"/>
      <c r="AG78" s="613"/>
      <c r="AH78" s="613"/>
      <c r="AI78" s="613"/>
      <c r="AJ78" s="613"/>
      <c r="AK78" s="613"/>
      <c r="AL78" s="613"/>
      <c r="AM78" s="613"/>
      <c r="AN78" s="613"/>
      <c r="AO78" s="613"/>
      <c r="AP78" s="613"/>
      <c r="AQ78" s="613"/>
      <c r="AR78" s="613"/>
      <c r="AS78" s="613"/>
      <c r="AT78" s="613"/>
      <c r="AU78" s="613"/>
      <c r="AV78" s="613"/>
      <c r="AW78" s="613"/>
      <c r="AX78" s="613"/>
      <c r="AY78" s="613"/>
      <c r="AZ78" s="613"/>
      <c r="BA78" s="613"/>
      <c r="BB78" s="613"/>
    </row>
    <row r="79" spans="1:54" ht="13.5" thickBot="1">
      <c r="A79" s="613"/>
      <c r="B79" s="1183"/>
      <c r="C79" s="647" t="s">
        <v>133</v>
      </c>
      <c r="D79" s="647"/>
      <c r="E79" s="648">
        <v>0.058180072108915355</v>
      </c>
      <c r="F79" s="648">
        <v>2.697</v>
      </c>
      <c r="G79" s="648">
        <v>0.021572143903935987</v>
      </c>
      <c r="H79" s="648"/>
      <c r="I79" s="648">
        <v>35.07008611719114</v>
      </c>
      <c r="J79" s="648">
        <v>21.572143903935988</v>
      </c>
      <c r="K79" s="649"/>
      <c r="L79" s="649">
        <v>23.876667417638043</v>
      </c>
      <c r="M79" s="649">
        <v>0.09804921</v>
      </c>
      <c r="N79" s="649">
        <v>0.09391764</v>
      </c>
      <c r="O79" s="649">
        <v>0.0945840222580645</v>
      </c>
      <c r="P79" s="649"/>
      <c r="Q79" s="649">
        <v>34.555815771047776</v>
      </c>
      <c r="R79" s="649">
        <v>24.495942841441536</v>
      </c>
      <c r="S79" s="649">
        <v>9.928082982004973</v>
      </c>
      <c r="T79" s="649">
        <v>18.43223392759859</v>
      </c>
      <c r="U79" s="649"/>
      <c r="V79" s="649">
        <v>36.35491657397108</v>
      </c>
      <c r="W79" s="649">
        <v>34.82300333704116</v>
      </c>
      <c r="X79" s="649">
        <v>35.07008611719114</v>
      </c>
      <c r="Y79" s="655"/>
      <c r="Z79" s="613"/>
      <c r="AA79" s="613"/>
      <c r="AB79" s="613"/>
      <c r="AC79" s="613"/>
      <c r="AD79" s="613"/>
      <c r="AE79" s="613"/>
      <c r="AF79" s="613"/>
      <c r="AG79" s="613"/>
      <c r="AH79" s="613"/>
      <c r="AI79" s="613"/>
      <c r="AJ79" s="613"/>
      <c r="AK79" s="613"/>
      <c r="AL79" s="613"/>
      <c r="AM79" s="613"/>
      <c r="AN79" s="613"/>
      <c r="AO79" s="613"/>
      <c r="AP79" s="613"/>
      <c r="AQ79" s="613"/>
      <c r="AR79" s="613"/>
      <c r="AS79" s="613"/>
      <c r="AT79" s="613"/>
      <c r="AU79" s="613"/>
      <c r="AV79" s="613"/>
      <c r="AW79" s="613"/>
      <c r="AX79" s="613"/>
      <c r="AY79" s="613"/>
      <c r="AZ79" s="613"/>
      <c r="BA79" s="613"/>
      <c r="BB79" s="613"/>
    </row>
    <row r="80" spans="1:54" ht="12.75">
      <c r="A80" s="613"/>
      <c r="B80" s="1181">
        <v>2012</v>
      </c>
      <c r="C80" s="652" t="s">
        <v>115</v>
      </c>
      <c r="D80" s="652">
        <v>40909</v>
      </c>
      <c r="E80" s="659">
        <v>0.05630514747037326</v>
      </c>
      <c r="F80" s="660">
        <v>2.691</v>
      </c>
      <c r="G80" s="659">
        <v>0.02092350333347204</v>
      </c>
      <c r="H80" s="661"/>
      <c r="I80" s="659">
        <v>35.15859835952578</v>
      </c>
      <c r="J80" s="667">
        <v>20.92350333347204</v>
      </c>
      <c r="K80" s="651"/>
      <c r="L80" s="651"/>
      <c r="M80" s="651"/>
      <c r="N80" s="651"/>
      <c r="O80" s="651"/>
      <c r="P80" s="651"/>
      <c r="Q80" s="651"/>
      <c r="R80" s="651"/>
      <c r="S80" s="651"/>
      <c r="T80" s="651"/>
      <c r="U80" s="651"/>
      <c r="V80" s="651"/>
      <c r="W80" s="651"/>
      <c r="X80" s="651"/>
      <c r="Y80" s="655"/>
      <c r="Z80" s="613"/>
      <c r="AA80" s="613"/>
      <c r="AB80" s="613"/>
      <c r="AC80" s="613"/>
      <c r="AD80" s="613"/>
      <c r="AE80" s="613"/>
      <c r="AF80" s="613"/>
      <c r="AG80" s="613"/>
      <c r="AH80" s="613"/>
      <c r="AI80" s="613"/>
      <c r="AJ80" s="613"/>
      <c r="AK80" s="613"/>
      <c r="AL80" s="613"/>
      <c r="AM80" s="613"/>
      <c r="AN80" s="613"/>
      <c r="AO80" s="613"/>
      <c r="AP80" s="613"/>
      <c r="AQ80" s="613"/>
      <c r="AR80" s="613"/>
      <c r="AS80" s="613"/>
      <c r="AT80" s="613"/>
      <c r="AU80" s="613"/>
      <c r="AV80" s="613"/>
      <c r="AW80" s="613"/>
      <c r="AX80" s="613"/>
      <c r="AY80" s="613"/>
      <c r="AZ80" s="613"/>
      <c r="BA80" s="613"/>
      <c r="BB80" s="613"/>
    </row>
    <row r="81" spans="1:54" ht="12.75">
      <c r="A81" s="613"/>
      <c r="B81" s="1182"/>
      <c r="C81" s="623" t="s">
        <v>120</v>
      </c>
      <c r="D81" s="623"/>
      <c r="E81" s="624">
        <v>0.06234703677540768</v>
      </c>
      <c r="F81" s="625">
        <v>2.678</v>
      </c>
      <c r="G81" s="624">
        <v>0.023281193717478596</v>
      </c>
      <c r="H81" s="626"/>
      <c r="I81" s="624">
        <v>35.347147301769205</v>
      </c>
      <c r="J81" s="628">
        <v>23.281193717478597</v>
      </c>
      <c r="K81" s="651"/>
      <c r="L81" s="651"/>
      <c r="M81" s="651"/>
      <c r="N81" s="651"/>
      <c r="O81" s="651"/>
      <c r="P81" s="651"/>
      <c r="Q81" s="651"/>
      <c r="R81" s="651"/>
      <c r="S81" s="651"/>
      <c r="T81" s="651"/>
      <c r="U81" s="651"/>
      <c r="V81" s="651"/>
      <c r="W81" s="651"/>
      <c r="X81" s="651"/>
      <c r="Y81" s="655"/>
      <c r="Z81" s="613"/>
      <c r="AA81" s="613"/>
      <c r="AB81" s="613"/>
      <c r="AC81" s="613"/>
      <c r="AD81" s="613"/>
      <c r="AE81" s="613"/>
      <c r="AF81" s="613"/>
      <c r="AG81" s="613"/>
      <c r="AH81" s="613"/>
      <c r="AI81" s="613"/>
      <c r="AJ81" s="613"/>
      <c r="AK81" s="613"/>
      <c r="AL81" s="613"/>
      <c r="AM81" s="613"/>
      <c r="AN81" s="613"/>
      <c r="AO81" s="613"/>
      <c r="AP81" s="613"/>
      <c r="AQ81" s="613"/>
      <c r="AR81" s="613"/>
      <c r="AS81" s="613"/>
      <c r="AT81" s="613"/>
      <c r="AU81" s="613"/>
      <c r="AV81" s="613"/>
      <c r="AW81" s="613"/>
      <c r="AX81" s="613"/>
      <c r="AY81" s="613"/>
      <c r="AZ81" s="613"/>
      <c r="BA81" s="613"/>
      <c r="BB81" s="613"/>
    </row>
    <row r="82" spans="1:54" ht="12.75">
      <c r="A82" s="613"/>
      <c r="B82" s="1182"/>
      <c r="C82" s="623" t="s">
        <v>124</v>
      </c>
      <c r="D82" s="623">
        <v>40969</v>
      </c>
      <c r="E82" s="624">
        <v>0.1018337995632124</v>
      </c>
      <c r="F82" s="625">
        <v>2.668</v>
      </c>
      <c r="G82" s="624">
        <v>0.03816859054093418</v>
      </c>
      <c r="H82" s="626"/>
      <c r="I82" s="624">
        <v>34.62244852036347</v>
      </c>
      <c r="J82" s="628">
        <v>38.16859054093418</v>
      </c>
      <c r="K82" s="613"/>
      <c r="L82" s="613"/>
      <c r="M82" s="655"/>
      <c r="N82" s="655"/>
      <c r="O82" s="655"/>
      <c r="P82" s="655"/>
      <c r="Q82" s="655"/>
      <c r="R82" s="655"/>
      <c r="S82" s="655"/>
      <c r="T82" s="655"/>
      <c r="U82" s="655"/>
      <c r="V82" s="655"/>
      <c r="W82" s="655"/>
      <c r="X82" s="655"/>
      <c r="Y82" s="655"/>
      <c r="Z82" s="613"/>
      <c r="AA82" s="613"/>
      <c r="AB82" s="613"/>
      <c r="AC82" s="613"/>
      <c r="AD82" s="613"/>
      <c r="AE82" s="613"/>
      <c r="AF82" s="613"/>
      <c r="AG82" s="613"/>
      <c r="AH82" s="613"/>
      <c r="AI82" s="613"/>
      <c r="AJ82" s="613"/>
      <c r="AK82" s="613"/>
      <c r="AL82" s="613"/>
      <c r="AM82" s="613"/>
      <c r="AN82" s="613"/>
      <c r="AO82" s="613"/>
      <c r="AP82" s="613"/>
      <c r="AQ82" s="613"/>
      <c r="AR82" s="613"/>
      <c r="AS82" s="613"/>
      <c r="AT82" s="613"/>
      <c r="AU82" s="613"/>
      <c r="AV82" s="613"/>
      <c r="AW82" s="613"/>
      <c r="AX82" s="613"/>
      <c r="AY82" s="613"/>
      <c r="AZ82" s="613"/>
      <c r="BA82" s="613"/>
      <c r="BB82" s="613"/>
    </row>
    <row r="83" spans="1:54" ht="12.75">
      <c r="A83" s="613"/>
      <c r="B83" s="1182"/>
      <c r="C83" s="623" t="s">
        <v>125</v>
      </c>
      <c r="D83" s="623"/>
      <c r="E83" s="624">
        <v>0.07045155727896091</v>
      </c>
      <c r="F83" s="625">
        <v>2.641</v>
      </c>
      <c r="G83" s="624">
        <v>0.02667609135894014</v>
      </c>
      <c r="H83" s="626"/>
      <c r="I83" s="624">
        <v>34.91061140900523</v>
      </c>
      <c r="J83" s="628">
        <v>26.67609135894014</v>
      </c>
      <c r="K83" s="613"/>
      <c r="L83" s="613"/>
      <c r="M83" s="655"/>
      <c r="N83" s="655"/>
      <c r="O83" s="655"/>
      <c r="P83" s="655"/>
      <c r="Q83" s="655"/>
      <c r="R83" s="655"/>
      <c r="S83" s="655"/>
      <c r="T83" s="655"/>
      <c r="U83" s="655"/>
      <c r="V83" s="655"/>
      <c r="W83" s="655"/>
      <c r="X83" s="655"/>
      <c r="Y83" s="655"/>
      <c r="Z83" s="613"/>
      <c r="AA83" s="613"/>
      <c r="AB83" s="613"/>
      <c r="AC83" s="613"/>
      <c r="AD83" s="613"/>
      <c r="AE83" s="613"/>
      <c r="AF83" s="613"/>
      <c r="AG83" s="613"/>
      <c r="AH83" s="613"/>
      <c r="AI83" s="613"/>
      <c r="AJ83" s="613"/>
      <c r="AK83" s="613"/>
      <c r="AL83" s="613"/>
      <c r="AM83" s="613"/>
      <c r="AN83" s="613"/>
      <c r="AO83" s="613"/>
      <c r="AP83" s="613"/>
      <c r="AQ83" s="613"/>
      <c r="AR83" s="613"/>
      <c r="AS83" s="613"/>
      <c r="AT83" s="613"/>
      <c r="AU83" s="613"/>
      <c r="AV83" s="613"/>
      <c r="AW83" s="613"/>
      <c r="AX83" s="613"/>
      <c r="AY83" s="613"/>
      <c r="AZ83" s="613"/>
      <c r="BA83" s="613"/>
      <c r="BB83" s="613"/>
    </row>
    <row r="84" spans="1:54" ht="12.75">
      <c r="A84" s="613"/>
      <c r="B84" s="1182"/>
      <c r="C84" s="623" t="s">
        <v>126</v>
      </c>
      <c r="D84" s="623">
        <v>41030</v>
      </c>
      <c r="E84" s="624">
        <v>0.07364459881128668</v>
      </c>
      <c r="F84" s="625">
        <v>2.71</v>
      </c>
      <c r="G84" s="624">
        <v>0.027175128712651913</v>
      </c>
      <c r="H84" s="626"/>
      <c r="I84" s="624">
        <v>39.67506748428566</v>
      </c>
      <c r="J84" s="628">
        <v>27.17512871265191</v>
      </c>
      <c r="K84" s="613"/>
      <c r="L84" s="613"/>
      <c r="M84" s="668"/>
      <c r="N84" s="613"/>
      <c r="O84" s="613"/>
      <c r="P84" s="613"/>
      <c r="Q84" s="613"/>
      <c r="R84" s="613"/>
      <c r="S84" s="613"/>
      <c r="T84" s="613"/>
      <c r="U84" s="613"/>
      <c r="V84" s="613"/>
      <c r="W84" s="613"/>
      <c r="X84" s="613"/>
      <c r="Y84" s="613"/>
      <c r="Z84" s="613"/>
      <c r="AA84" s="613"/>
      <c r="AB84" s="613"/>
      <c r="AC84" s="613"/>
      <c r="AD84" s="613"/>
      <c r="AE84" s="613"/>
      <c r="AF84" s="613"/>
      <c r="AG84" s="613"/>
      <c r="AH84" s="613"/>
      <c r="AI84" s="613"/>
      <c r="AJ84" s="613"/>
      <c r="AK84" s="613"/>
      <c r="AL84" s="613"/>
      <c r="AM84" s="613"/>
      <c r="AN84" s="613"/>
      <c r="AO84" s="613"/>
      <c r="AP84" s="613"/>
      <c r="AQ84" s="613"/>
      <c r="AR84" s="613"/>
      <c r="AS84" s="613"/>
      <c r="AT84" s="613"/>
      <c r="AU84" s="613"/>
      <c r="AV84" s="613"/>
      <c r="AW84" s="613"/>
      <c r="AX84" s="613"/>
      <c r="AY84" s="613"/>
      <c r="AZ84" s="613"/>
      <c r="BA84" s="613"/>
      <c r="BB84" s="613"/>
    </row>
    <row r="85" spans="1:54" ht="12.75">
      <c r="A85" s="613"/>
      <c r="B85" s="1182"/>
      <c r="C85" s="623" t="s">
        <v>127</v>
      </c>
      <c r="D85" s="623"/>
      <c r="E85" s="627">
        <v>0.1215915931357178</v>
      </c>
      <c r="F85" s="627">
        <v>2.671</v>
      </c>
      <c r="G85" s="627">
        <v>0.04552287275766297</v>
      </c>
      <c r="H85" s="627"/>
      <c r="I85" s="627">
        <v>40.19873954823412</v>
      </c>
      <c r="J85" s="627">
        <v>45.522872757662974</v>
      </c>
      <c r="K85" s="613"/>
      <c r="L85" s="613"/>
      <c r="M85" s="613"/>
      <c r="N85" s="613"/>
      <c r="O85" s="613"/>
      <c r="P85" s="613"/>
      <c r="Q85" s="613"/>
      <c r="R85" s="613"/>
      <c r="S85" s="613"/>
      <c r="T85" s="613"/>
      <c r="U85" s="613"/>
      <c r="V85" s="613"/>
      <c r="W85" s="613"/>
      <c r="X85" s="613"/>
      <c r="Y85" s="613"/>
      <c r="Z85" s="613"/>
      <c r="AA85" s="613"/>
      <c r="AB85" s="613"/>
      <c r="AC85" s="613"/>
      <c r="AD85" s="613"/>
      <c r="AE85" s="613"/>
      <c r="AF85" s="613"/>
      <c r="AG85" s="613"/>
      <c r="AH85" s="613"/>
      <c r="AI85" s="613"/>
      <c r="AJ85" s="613"/>
      <c r="AK85" s="613"/>
      <c r="AL85" s="613"/>
      <c r="AM85" s="613"/>
      <c r="AN85" s="613"/>
      <c r="AO85" s="613"/>
      <c r="AP85" s="613"/>
      <c r="AQ85" s="613"/>
      <c r="AR85" s="613"/>
      <c r="AS85" s="613"/>
      <c r="AT85" s="613"/>
      <c r="AU85" s="613"/>
      <c r="AV85" s="613"/>
      <c r="AW85" s="613"/>
      <c r="AX85" s="613"/>
      <c r="AY85" s="613"/>
      <c r="AZ85" s="613"/>
      <c r="BA85" s="613"/>
      <c r="BB85" s="613"/>
    </row>
    <row r="86" spans="1:54" ht="12.75">
      <c r="A86" s="613"/>
      <c r="B86" s="1182"/>
      <c r="C86" s="623" t="s">
        <v>128</v>
      </c>
      <c r="D86" s="623">
        <v>41091</v>
      </c>
      <c r="E86" s="627">
        <v>0.1526105768280836</v>
      </c>
      <c r="F86" s="627">
        <v>2.629</v>
      </c>
      <c r="G86" s="627">
        <v>0.058048907123652946</v>
      </c>
      <c r="H86" s="627"/>
      <c r="I86" s="627">
        <v>40.79313856611737</v>
      </c>
      <c r="J86" s="627">
        <v>58.048907123652945</v>
      </c>
      <c r="K86" s="613"/>
      <c r="L86" s="613"/>
      <c r="M86" s="655"/>
      <c r="N86" s="613"/>
      <c r="O86" s="613"/>
      <c r="P86" s="613"/>
      <c r="Q86" s="613"/>
      <c r="R86" s="613"/>
      <c r="S86" s="613"/>
      <c r="T86" s="613"/>
      <c r="U86" s="613"/>
      <c r="V86" s="613"/>
      <c r="W86" s="613"/>
      <c r="X86" s="613"/>
      <c r="Y86" s="613"/>
      <c r="Z86" s="613"/>
      <c r="AA86" s="613"/>
      <c r="AB86" s="613"/>
      <c r="AC86" s="613"/>
      <c r="AD86" s="613"/>
      <c r="AE86" s="613"/>
      <c r="AF86" s="613"/>
      <c r="AG86" s="613"/>
      <c r="AH86" s="613"/>
      <c r="AI86" s="613"/>
      <c r="AJ86" s="613"/>
      <c r="AK86" s="613"/>
      <c r="AL86" s="613"/>
      <c r="AM86" s="613"/>
      <c r="AN86" s="613"/>
      <c r="AO86" s="613"/>
      <c r="AP86" s="613"/>
      <c r="AQ86" s="613"/>
      <c r="AR86" s="613"/>
      <c r="AS86" s="613"/>
      <c r="AT86" s="613"/>
      <c r="AU86" s="613"/>
      <c r="AV86" s="613"/>
      <c r="AW86" s="613"/>
      <c r="AX86" s="613"/>
      <c r="AY86" s="613"/>
      <c r="AZ86" s="613"/>
      <c r="BA86" s="613"/>
      <c r="BB86" s="613"/>
    </row>
    <row r="87" spans="1:54" ht="12.75">
      <c r="A87" s="613"/>
      <c r="B87" s="1182"/>
      <c r="C87" s="623" t="s">
        <v>129</v>
      </c>
      <c r="D87" s="623"/>
      <c r="E87" s="627">
        <v>0.09158806415284833</v>
      </c>
      <c r="F87" s="627">
        <v>2.61</v>
      </c>
      <c r="G87" s="627">
        <v>0.03509121231909898</v>
      </c>
      <c r="H87" s="627"/>
      <c r="I87" s="627">
        <v>41.142627610925715</v>
      </c>
      <c r="J87" s="627">
        <v>35.09121231909898</v>
      </c>
      <c r="K87" s="613"/>
      <c r="L87" s="613"/>
      <c r="M87" s="655"/>
      <c r="N87" s="613"/>
      <c r="O87" s="613"/>
      <c r="P87" s="613"/>
      <c r="Q87" s="613"/>
      <c r="R87" s="613"/>
      <c r="S87" s="613"/>
      <c r="T87" s="613"/>
      <c r="U87" s="613"/>
      <c r="V87" s="613"/>
      <c r="W87" s="613"/>
      <c r="X87" s="613"/>
      <c r="Y87" s="613"/>
      <c r="Z87" s="613"/>
      <c r="AA87" s="613"/>
      <c r="AB87" s="613"/>
      <c r="AC87" s="613"/>
      <c r="AD87" s="613"/>
      <c r="AE87" s="613"/>
      <c r="AF87" s="613"/>
      <c r="AG87" s="613"/>
      <c r="AH87" s="613"/>
      <c r="AI87" s="613"/>
      <c r="AJ87" s="613"/>
      <c r="AK87" s="613"/>
      <c r="AL87" s="613"/>
      <c r="AM87" s="613"/>
      <c r="AN87" s="613"/>
      <c r="AO87" s="613"/>
      <c r="AP87" s="613"/>
      <c r="AQ87" s="613"/>
      <c r="AR87" s="613"/>
      <c r="AS87" s="613"/>
      <c r="AT87" s="613"/>
      <c r="AU87" s="613"/>
      <c r="AV87" s="613"/>
      <c r="AW87" s="613"/>
      <c r="AX87" s="613"/>
      <c r="AY87" s="613"/>
      <c r="AZ87" s="613"/>
      <c r="BA87" s="613"/>
      <c r="BB87" s="613"/>
    </row>
    <row r="88" spans="1:54" ht="12.75">
      <c r="A88" s="613"/>
      <c r="B88" s="1182"/>
      <c r="C88" s="623" t="s">
        <v>130</v>
      </c>
      <c r="D88" s="623">
        <v>41153</v>
      </c>
      <c r="E88" s="627">
        <v>0.09459059538402305</v>
      </c>
      <c r="F88" s="627">
        <v>2.598</v>
      </c>
      <c r="G88" s="627">
        <v>0.036409005151663995</v>
      </c>
      <c r="H88" s="627"/>
      <c r="I88" s="627">
        <v>41.35552989479087</v>
      </c>
      <c r="J88" s="627">
        <v>36.409005151664</v>
      </c>
      <c r="K88" s="613"/>
      <c r="L88" s="613"/>
      <c r="M88" s="655"/>
      <c r="N88" s="613"/>
      <c r="O88" s="613"/>
      <c r="P88" s="613"/>
      <c r="Q88" s="613"/>
      <c r="R88" s="613"/>
      <c r="S88" s="613"/>
      <c r="T88" s="613"/>
      <c r="U88" s="613"/>
      <c r="V88" s="613"/>
      <c r="W88" s="613"/>
      <c r="X88" s="613"/>
      <c r="Y88" s="613"/>
      <c r="Z88" s="613"/>
      <c r="AA88" s="613"/>
      <c r="AB88" s="613"/>
      <c r="AC88" s="613"/>
      <c r="AD88" s="613"/>
      <c r="AE88" s="613"/>
      <c r="AF88" s="613"/>
      <c r="AG88" s="613"/>
      <c r="AH88" s="613"/>
      <c r="AI88" s="613"/>
      <c r="AJ88" s="613"/>
      <c r="AK88" s="613"/>
      <c r="AL88" s="613"/>
      <c r="AM88" s="613"/>
      <c r="AN88" s="613"/>
      <c r="AO88" s="613"/>
      <c r="AP88" s="613"/>
      <c r="AQ88" s="613"/>
      <c r="AR88" s="613"/>
      <c r="AS88" s="613"/>
      <c r="AT88" s="613"/>
      <c r="AU88" s="613"/>
      <c r="AV88" s="613"/>
      <c r="AW88" s="613"/>
      <c r="AX88" s="613"/>
      <c r="AY88" s="613"/>
      <c r="AZ88" s="613"/>
      <c r="BA88" s="613"/>
      <c r="BB88" s="613"/>
    </row>
    <row r="89" spans="1:54" ht="12.75">
      <c r="A89" s="613"/>
      <c r="B89" s="1182"/>
      <c r="C89" s="623" t="s">
        <v>131</v>
      </c>
      <c r="D89" s="623"/>
      <c r="E89" s="627">
        <v>0.07454865464712501</v>
      </c>
      <c r="F89" s="627">
        <v>2.592</v>
      </c>
      <c r="G89" s="627">
        <v>0.028761055033613044</v>
      </c>
      <c r="H89" s="627"/>
      <c r="I89" s="627">
        <v>41.45126028806584</v>
      </c>
      <c r="J89" s="627">
        <v>28.761055033613044</v>
      </c>
      <c r="K89" s="613"/>
      <c r="L89" s="613"/>
      <c r="M89" s="655"/>
      <c r="N89" s="613"/>
      <c r="O89" s="613"/>
      <c r="P89" s="613"/>
      <c r="Q89" s="613"/>
      <c r="R89" s="613"/>
      <c r="S89" s="613"/>
      <c r="T89" s="613"/>
      <c r="U89" s="613"/>
      <c r="V89" s="613"/>
      <c r="W89" s="613"/>
      <c r="X89" s="613"/>
      <c r="Y89" s="613"/>
      <c r="Z89" s="613"/>
      <c r="AA89" s="613"/>
      <c r="AB89" s="613"/>
      <c r="AC89" s="613"/>
      <c r="AD89" s="613"/>
      <c r="AE89" s="613"/>
      <c r="AF89" s="613"/>
      <c r="AG89" s="613"/>
      <c r="AH89" s="613"/>
      <c r="AI89" s="613"/>
      <c r="AJ89" s="613"/>
      <c r="AK89" s="613"/>
      <c r="AL89" s="613"/>
      <c r="AM89" s="613"/>
      <c r="AN89" s="613"/>
      <c r="AO89" s="613"/>
      <c r="AP89" s="613"/>
      <c r="AQ89" s="613"/>
      <c r="AR89" s="613"/>
      <c r="AS89" s="613"/>
      <c r="AT89" s="613"/>
      <c r="AU89" s="613"/>
      <c r="AV89" s="613"/>
      <c r="AW89" s="613"/>
      <c r="AX89" s="613"/>
      <c r="AY89" s="613"/>
      <c r="AZ89" s="613"/>
      <c r="BA89" s="613"/>
      <c r="BB89" s="613"/>
    </row>
    <row r="90" spans="1:54" ht="12.75">
      <c r="A90" s="613"/>
      <c r="B90" s="1182"/>
      <c r="C90" s="623" t="s">
        <v>132</v>
      </c>
      <c r="D90" s="623">
        <v>41214</v>
      </c>
      <c r="E90" s="627">
        <v>0.0370089724415418</v>
      </c>
      <c r="F90" s="627">
        <v>2.579</v>
      </c>
      <c r="G90" s="627">
        <v>0.014350125025801394</v>
      </c>
      <c r="H90" s="627"/>
      <c r="I90" s="627">
        <v>41.493149799663954</v>
      </c>
      <c r="J90" s="627">
        <v>14.350125025801393</v>
      </c>
      <c r="K90" s="613"/>
      <c r="L90" s="613"/>
      <c r="M90" s="655"/>
      <c r="N90" s="613"/>
      <c r="O90" s="613"/>
      <c r="P90" s="613"/>
      <c r="Q90" s="613"/>
      <c r="R90" s="613"/>
      <c r="S90" s="613"/>
      <c r="T90" s="613"/>
      <c r="U90" s="613"/>
      <c r="V90" s="613"/>
      <c r="W90" s="613"/>
      <c r="X90" s="613"/>
      <c r="Y90" s="613"/>
      <c r="Z90" s="613"/>
      <c r="AA90" s="613"/>
      <c r="AB90" s="613"/>
      <c r="AC90" s="613"/>
      <c r="AD90" s="613"/>
      <c r="AE90" s="613"/>
      <c r="AF90" s="613"/>
      <c r="AG90" s="613"/>
      <c r="AH90" s="613"/>
      <c r="AI90" s="613"/>
      <c r="AJ90" s="613"/>
      <c r="AK90" s="613"/>
      <c r="AL90" s="613"/>
      <c r="AM90" s="613"/>
      <c r="AN90" s="613"/>
      <c r="AO90" s="613"/>
      <c r="AP90" s="613"/>
      <c r="AQ90" s="613"/>
      <c r="AR90" s="613"/>
      <c r="AS90" s="613"/>
      <c r="AT90" s="613"/>
      <c r="AU90" s="613"/>
      <c r="AV90" s="613"/>
      <c r="AW90" s="613"/>
      <c r="AX90" s="613"/>
      <c r="AY90" s="613"/>
      <c r="AZ90" s="613"/>
      <c r="BA90" s="613"/>
      <c r="BB90" s="613"/>
    </row>
    <row r="91" spans="1:54" ht="13.5" thickBot="1">
      <c r="A91" s="613"/>
      <c r="B91" s="1183"/>
      <c r="C91" s="647" t="s">
        <v>133</v>
      </c>
      <c r="D91" s="647"/>
      <c r="E91" s="648">
        <v>0.03507716472062293</v>
      </c>
      <c r="F91" s="648">
        <v>2.551</v>
      </c>
      <c r="G91" s="648">
        <v>0.013750358573352774</v>
      </c>
      <c r="H91" s="648"/>
      <c r="I91" s="648">
        <v>41.883638294912814</v>
      </c>
      <c r="J91" s="648">
        <v>13.750358573352774</v>
      </c>
      <c r="K91" s="613"/>
      <c r="L91" s="613"/>
      <c r="M91" s="655"/>
      <c r="N91" s="613"/>
      <c r="O91" s="613"/>
      <c r="P91" s="613"/>
      <c r="Q91" s="613"/>
      <c r="R91" s="613"/>
      <c r="S91" s="613"/>
      <c r="T91" s="613"/>
      <c r="U91" s="613"/>
      <c r="V91" s="613"/>
      <c r="W91" s="613"/>
      <c r="X91" s="613"/>
      <c r="Y91" s="613"/>
      <c r="Z91" s="613"/>
      <c r="AA91" s="613"/>
      <c r="AB91" s="613"/>
      <c r="AC91" s="613"/>
      <c r="AD91" s="613"/>
      <c r="AE91" s="613"/>
      <c r="AF91" s="613"/>
      <c r="AG91" s="613"/>
      <c r="AH91" s="613"/>
      <c r="AI91" s="613"/>
      <c r="AJ91" s="613"/>
      <c r="AK91" s="613"/>
      <c r="AL91" s="613"/>
      <c r="AM91" s="613"/>
      <c r="AN91" s="613"/>
      <c r="AO91" s="613"/>
      <c r="AP91" s="613"/>
      <c r="AQ91" s="613"/>
      <c r="AR91" s="613"/>
      <c r="AS91" s="613"/>
      <c r="AT91" s="613"/>
      <c r="AU91" s="613"/>
      <c r="AV91" s="613"/>
      <c r="AW91" s="613"/>
      <c r="AX91" s="613"/>
      <c r="AY91" s="613"/>
      <c r="AZ91" s="613"/>
      <c r="BA91" s="613"/>
      <c r="BB91" s="613"/>
    </row>
    <row r="92" spans="1:54" ht="12.75">
      <c r="A92" s="613"/>
      <c r="B92" s="1181">
        <v>2013</v>
      </c>
      <c r="C92" s="652" t="s">
        <v>115</v>
      </c>
      <c r="D92" s="652">
        <v>41275</v>
      </c>
      <c r="E92" s="659">
        <v>0.049880248244637146</v>
      </c>
      <c r="F92" s="660">
        <v>2.578</v>
      </c>
      <c r="G92" s="659">
        <v>0.01934842833383908</v>
      </c>
      <c r="H92" s="661"/>
      <c r="I92" s="659">
        <v>41.47157086013164</v>
      </c>
      <c r="J92" s="667">
        <v>19.348428333839077</v>
      </c>
      <c r="K92" s="613"/>
      <c r="L92" s="613"/>
      <c r="M92" s="655"/>
      <c r="N92" s="613"/>
      <c r="O92" s="613"/>
      <c r="P92" s="613"/>
      <c r="Q92" s="613"/>
      <c r="R92" s="613"/>
      <c r="S92" s="613"/>
      <c r="T92" s="613"/>
      <c r="U92" s="613"/>
      <c r="V92" s="669"/>
      <c r="W92" s="613"/>
      <c r="X92" s="613"/>
      <c r="Y92" s="613"/>
      <c r="Z92" s="613"/>
      <c r="AA92" s="613"/>
      <c r="AB92" s="613"/>
      <c r="AC92" s="613"/>
      <c r="AD92" s="613"/>
      <c r="AE92" s="613"/>
      <c r="AF92" s="613"/>
      <c r="AG92" s="613"/>
      <c r="AH92" s="613"/>
      <c r="AI92" s="613"/>
      <c r="AJ92" s="613"/>
      <c r="AK92" s="613"/>
      <c r="AL92" s="613"/>
      <c r="AM92" s="613"/>
      <c r="AN92" s="613"/>
      <c r="AO92" s="613"/>
      <c r="AP92" s="613"/>
      <c r="AQ92" s="613"/>
      <c r="AR92" s="613"/>
      <c r="AS92" s="613"/>
      <c r="AT92" s="613"/>
      <c r="AU92" s="613"/>
      <c r="AV92" s="613"/>
      <c r="AW92" s="613"/>
      <c r="AX92" s="613"/>
      <c r="AY92" s="613"/>
      <c r="AZ92" s="613"/>
      <c r="BA92" s="613"/>
      <c r="BB92" s="613"/>
    </row>
    <row r="93" spans="1:54" ht="12.75">
      <c r="A93" s="613"/>
      <c r="B93" s="1182"/>
      <c r="C93" s="623" t="s">
        <v>120</v>
      </c>
      <c r="D93" s="623"/>
      <c r="E93" s="624">
        <v>0.08124579521412374</v>
      </c>
      <c r="F93" s="625">
        <v>2.587</v>
      </c>
      <c r="G93" s="624">
        <v>0.031405409823781885</v>
      </c>
      <c r="H93" s="626"/>
      <c r="I93" s="624">
        <v>41.67955160417471</v>
      </c>
      <c r="J93" s="628">
        <v>31.405409823781884</v>
      </c>
      <c r="K93" s="613"/>
      <c r="L93" s="613"/>
      <c r="M93" s="655"/>
      <c r="N93" s="613"/>
      <c r="O93" s="613"/>
      <c r="P93" s="613"/>
      <c r="Q93" s="613"/>
      <c r="R93" s="613"/>
      <c r="S93" s="613"/>
      <c r="T93" s="613"/>
      <c r="U93" s="613"/>
      <c r="V93" s="669"/>
      <c r="W93" s="613"/>
      <c r="X93" s="613"/>
      <c r="Y93" s="613"/>
      <c r="Z93" s="613"/>
      <c r="AA93" s="613"/>
      <c r="AB93" s="613"/>
      <c r="AC93" s="613"/>
      <c r="AD93" s="613"/>
      <c r="AE93" s="613"/>
      <c r="AF93" s="613"/>
      <c r="AG93" s="613"/>
      <c r="AH93" s="613"/>
      <c r="AI93" s="613"/>
      <c r="AJ93" s="613"/>
      <c r="AK93" s="613"/>
      <c r="AL93" s="613"/>
      <c r="AM93" s="613"/>
      <c r="AN93" s="613"/>
      <c r="AO93" s="613"/>
      <c r="AP93" s="613"/>
      <c r="AQ93" s="613"/>
      <c r="AR93" s="613"/>
      <c r="AS93" s="613"/>
      <c r="AT93" s="613"/>
      <c r="AU93" s="613"/>
      <c r="AV93" s="613"/>
      <c r="AW93" s="613"/>
      <c r="AX93" s="613"/>
      <c r="AY93" s="613"/>
      <c r="AZ93" s="613"/>
      <c r="BA93" s="613"/>
      <c r="BB93" s="613"/>
    </row>
    <row r="94" spans="1:54" ht="12.75">
      <c r="A94" s="613"/>
      <c r="B94" s="1182"/>
      <c r="C94" s="623" t="s">
        <v>124</v>
      </c>
      <c r="D94" s="623">
        <v>41334</v>
      </c>
      <c r="E94" s="624">
        <v>0.05104899238607211</v>
      </c>
      <c r="F94" s="625">
        <v>2.589</v>
      </c>
      <c r="G94" s="624">
        <v>0.019717648662059526</v>
      </c>
      <c r="H94" s="626"/>
      <c r="I94" s="624">
        <v>41.6959468720019</v>
      </c>
      <c r="J94" s="628">
        <v>19.717648662059528</v>
      </c>
      <c r="K94" s="613"/>
      <c r="L94" s="613"/>
      <c r="M94" s="655"/>
      <c r="N94" s="613"/>
      <c r="O94" s="613"/>
      <c r="P94" s="613"/>
      <c r="Q94" s="613"/>
      <c r="R94" s="613"/>
      <c r="S94" s="613"/>
      <c r="T94" s="613"/>
      <c r="U94" s="613"/>
      <c r="V94" s="613"/>
      <c r="W94" s="613"/>
      <c r="X94" s="613"/>
      <c r="Y94" s="613"/>
      <c r="Z94" s="613"/>
      <c r="AA94" s="613"/>
      <c r="AB94" s="613"/>
      <c r="AC94" s="613"/>
      <c r="AD94" s="613"/>
      <c r="AE94" s="613"/>
      <c r="AF94" s="613"/>
      <c r="AG94" s="613"/>
      <c r="AH94" s="613"/>
      <c r="AI94" s="613"/>
      <c r="AJ94" s="613"/>
      <c r="AK94" s="613"/>
      <c r="AL94" s="613"/>
      <c r="AM94" s="613"/>
      <c r="AN94" s="613"/>
      <c r="AO94" s="613"/>
      <c r="AP94" s="613"/>
      <c r="AQ94" s="613"/>
      <c r="AR94" s="613"/>
      <c r="AS94" s="613"/>
      <c r="AT94" s="613"/>
      <c r="AU94" s="613"/>
      <c r="AV94" s="613"/>
      <c r="AW94" s="613"/>
      <c r="AX94" s="613"/>
      <c r="AY94" s="613"/>
      <c r="AZ94" s="613"/>
      <c r="BA94" s="613"/>
      <c r="BB94" s="613"/>
    </row>
    <row r="95" spans="1:54" ht="12.75">
      <c r="A95" s="613"/>
      <c r="B95" s="1182"/>
      <c r="C95" s="623" t="s">
        <v>125</v>
      </c>
      <c r="D95" s="623"/>
      <c r="E95" s="624">
        <v>0.04970117937953785</v>
      </c>
      <c r="F95" s="625">
        <v>2.646</v>
      </c>
      <c r="G95" s="624">
        <v>0.01878351450473842</v>
      </c>
      <c r="H95" s="626"/>
      <c r="I95" s="624">
        <v>40.71397077349459</v>
      </c>
      <c r="J95" s="628">
        <v>18.78351450473842</v>
      </c>
      <c r="K95" s="613"/>
      <c r="L95" s="613"/>
      <c r="M95" s="655"/>
      <c r="N95" s="613"/>
      <c r="O95" s="613"/>
      <c r="P95" s="613"/>
      <c r="Q95" s="613"/>
      <c r="R95" s="613"/>
      <c r="S95" s="613"/>
      <c r="T95" s="613"/>
      <c r="U95" s="613"/>
      <c r="V95" s="613"/>
      <c r="W95" s="613"/>
      <c r="X95" s="613"/>
      <c r="Y95" s="613"/>
      <c r="Z95" s="613"/>
      <c r="AA95" s="613"/>
      <c r="AB95" s="613"/>
      <c r="AC95" s="613"/>
      <c r="AD95" s="613"/>
      <c r="AE95" s="613"/>
      <c r="AF95" s="613"/>
      <c r="AG95" s="613"/>
      <c r="AH95" s="613"/>
      <c r="AI95" s="613"/>
      <c r="AJ95" s="613"/>
      <c r="AK95" s="613"/>
      <c r="AL95" s="613"/>
      <c r="AM95" s="613"/>
      <c r="AN95" s="613"/>
      <c r="AO95" s="613"/>
      <c r="AP95" s="613"/>
      <c r="AQ95" s="613"/>
      <c r="AR95" s="613"/>
      <c r="AS95" s="613"/>
      <c r="AT95" s="613"/>
      <c r="AU95" s="613"/>
      <c r="AV95" s="613"/>
      <c r="AW95" s="613"/>
      <c r="AX95" s="613"/>
      <c r="AY95" s="613"/>
      <c r="AZ95" s="613"/>
      <c r="BA95" s="613"/>
      <c r="BB95" s="613"/>
    </row>
    <row r="96" spans="2:10" ht="12.75">
      <c r="B96" s="1182"/>
      <c r="C96" s="623" t="s">
        <v>126</v>
      </c>
      <c r="D96" s="623">
        <v>41395</v>
      </c>
      <c r="E96" s="624">
        <v>0.07420813416563955</v>
      </c>
      <c r="F96" s="625">
        <v>2.734</v>
      </c>
      <c r="G96" s="624">
        <v>0.027142697207622368</v>
      </c>
      <c r="H96" s="626"/>
      <c r="I96" s="624">
        <v>39.129913239099814</v>
      </c>
      <c r="J96" s="628">
        <v>27.14269720762237</v>
      </c>
    </row>
    <row r="97" spans="2:10" ht="12.75">
      <c r="B97" s="1182"/>
      <c r="C97" s="623" t="s">
        <v>127</v>
      </c>
      <c r="D97" s="623"/>
      <c r="E97" s="627">
        <v>0.07405515441278245</v>
      </c>
      <c r="F97" s="627">
        <v>2.783</v>
      </c>
      <c r="G97" s="627">
        <v>0.026609829109875117</v>
      </c>
      <c r="H97" s="627"/>
      <c r="I97" s="627">
        <v>40.16893240707469</v>
      </c>
      <c r="J97" s="627">
        <v>26.60982910987512</v>
      </c>
    </row>
    <row r="98" spans="2:10" ht="12.75">
      <c r="B98" s="1182"/>
      <c r="C98" s="623" t="s">
        <v>128</v>
      </c>
      <c r="D98" s="623">
        <v>41456</v>
      </c>
      <c r="E98" s="627">
        <v>0.12534090996277095</v>
      </c>
      <c r="F98" s="627">
        <v>2.794</v>
      </c>
      <c r="G98" s="627">
        <v>0.04486074085997528</v>
      </c>
      <c r="H98" s="627"/>
      <c r="I98" s="627">
        <v>40.119380238760485</v>
      </c>
      <c r="J98" s="627">
        <v>44.86074085997528</v>
      </c>
    </row>
    <row r="99" spans="2:10" ht="12.75">
      <c r="B99" s="1182"/>
      <c r="C99" s="623" t="s">
        <v>129</v>
      </c>
      <c r="D99" s="623"/>
      <c r="E99" s="627">
        <v>0.09751493662046144</v>
      </c>
      <c r="F99" s="627">
        <v>2.808</v>
      </c>
      <c r="G99" s="627">
        <v>0.03472754153150336</v>
      </c>
      <c r="H99" s="627"/>
      <c r="I99" s="627">
        <v>40.014130135097886</v>
      </c>
      <c r="J99" s="627">
        <v>34.72754153150336</v>
      </c>
    </row>
    <row r="100" spans="2:10" ht="12.75">
      <c r="B100" s="1182"/>
      <c r="C100" s="623" t="s">
        <v>130</v>
      </c>
      <c r="D100" s="623">
        <v>41518</v>
      </c>
      <c r="E100" s="627">
        <v>0.078640588622248</v>
      </c>
      <c r="F100" s="627">
        <v>2.782</v>
      </c>
      <c r="G100" s="627">
        <v>0.028267645083482385</v>
      </c>
      <c r="H100" s="627"/>
      <c r="I100" s="627">
        <v>40.42954708842559</v>
      </c>
      <c r="J100" s="627">
        <v>28.267645083482385</v>
      </c>
    </row>
    <row r="101" spans="2:10" ht="12.75">
      <c r="B101" s="1182"/>
      <c r="C101" s="623" t="s">
        <v>131</v>
      </c>
      <c r="D101" s="623"/>
      <c r="E101" s="627">
        <v>0.05386545570433131</v>
      </c>
      <c r="F101" s="627">
        <v>2.77</v>
      </c>
      <c r="G101" s="627">
        <v>0.019446012889650293</v>
      </c>
      <c r="H101" s="627"/>
      <c r="I101" s="627">
        <v>40.56306044020031</v>
      </c>
      <c r="J101" s="627">
        <v>19.446012889650294</v>
      </c>
    </row>
    <row r="102" spans="2:10" ht="12.75">
      <c r="B102" s="1182"/>
      <c r="C102" s="623" t="s">
        <v>132</v>
      </c>
      <c r="D102" s="623">
        <v>41579</v>
      </c>
      <c r="E102" s="627">
        <v>0.06444907461637855</v>
      </c>
      <c r="F102" s="627">
        <v>2.8</v>
      </c>
      <c r="G102" s="627">
        <v>0.023017526648706627</v>
      </c>
      <c r="H102" s="627"/>
      <c r="I102" s="627">
        <v>38.21815476190476</v>
      </c>
      <c r="J102" s="627">
        <v>23.017526648706628</v>
      </c>
    </row>
    <row r="103" spans="2:10" ht="13.5" thickBot="1">
      <c r="B103" s="1183"/>
      <c r="C103" s="647" t="s">
        <v>133</v>
      </c>
      <c r="D103" s="647"/>
      <c r="E103" s="648">
        <v>0.06961349486895878</v>
      </c>
      <c r="F103" s="648">
        <v>2.796</v>
      </c>
      <c r="G103" s="648">
        <v>0.024897530353704858</v>
      </c>
      <c r="H103" s="648"/>
      <c r="I103" s="648">
        <v>38.21357699940007</v>
      </c>
      <c r="J103" s="648">
        <v>24.89753035370486</v>
      </c>
    </row>
  </sheetData>
  <sheetProtection/>
  <mergeCells count="12">
    <mergeCell ref="F6:F7"/>
    <mergeCell ref="B8:B19"/>
    <mergeCell ref="AS25:AS26"/>
    <mergeCell ref="AV25:AW25"/>
    <mergeCell ref="B20:B31"/>
    <mergeCell ref="B32:B43"/>
    <mergeCell ref="B44:B55"/>
    <mergeCell ref="B56:B67"/>
    <mergeCell ref="B68:B79"/>
    <mergeCell ref="B80:B91"/>
    <mergeCell ref="C6:C7"/>
    <mergeCell ref="B92:B103"/>
  </mergeCells>
  <printOptions/>
  <pageMargins left="0.7" right="0.7" top="0.75" bottom="0.75" header="0.3" footer="0.3"/>
  <pageSetup horizontalDpi="1200" verticalDpi="12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7"/>
  <sheetViews>
    <sheetView view="pageBreakPreview" zoomScaleSheetLayoutView="100" zoomScalePageLayoutView="0" workbookViewId="0" topLeftCell="A1">
      <selection activeCell="B32" sqref="B32"/>
    </sheetView>
  </sheetViews>
  <sheetFormatPr defaultColWidth="11.421875" defaultRowHeight="12.75"/>
  <cols>
    <col min="1" max="1" width="5.7109375" style="216" customWidth="1"/>
    <col min="2" max="2" width="21.7109375" style="216" customWidth="1"/>
    <col min="3" max="3" width="11.8515625" style="216" customWidth="1"/>
    <col min="4" max="4" width="9.140625" style="216" bestFit="1" customWidth="1"/>
    <col min="5" max="6" width="8.57421875" style="216" customWidth="1"/>
    <col min="7" max="7" width="8.00390625" style="216" customWidth="1"/>
    <col min="8" max="8" width="11.140625" style="216" customWidth="1"/>
    <col min="9" max="9" width="11.7109375" style="216" customWidth="1"/>
    <col min="10" max="11" width="9.28125" style="216" customWidth="1"/>
    <col min="12" max="12" width="7.28125" style="216" customWidth="1"/>
    <col min="13" max="13" width="9.28125" style="216" customWidth="1"/>
    <col min="14" max="14" width="9.8515625" style="216" customWidth="1"/>
    <col min="15" max="15" width="8.7109375" style="216" customWidth="1"/>
    <col min="16" max="16384" width="11.421875" style="216" customWidth="1"/>
  </cols>
  <sheetData>
    <row r="1" spans="2:15" ht="20.25">
      <c r="B1" s="1055"/>
      <c r="C1" s="1055"/>
      <c r="D1" s="1055"/>
      <c r="E1" s="1055"/>
      <c r="F1" s="1055"/>
      <c r="G1" s="1055"/>
      <c r="H1" s="1055"/>
      <c r="I1" s="1055"/>
      <c r="J1" s="1055"/>
      <c r="K1" s="1055"/>
      <c r="L1" s="1055"/>
      <c r="M1" s="1055"/>
      <c r="N1" s="1055"/>
      <c r="O1" s="1055"/>
    </row>
    <row r="2" ht="18">
      <c r="A2" s="10" t="s">
        <v>64</v>
      </c>
    </row>
    <row r="3" spans="3:15" ht="15">
      <c r="C3" s="217"/>
      <c r="D3" s="217"/>
      <c r="E3" s="217"/>
      <c r="F3" s="217"/>
      <c r="G3" s="217"/>
      <c r="H3" s="217"/>
      <c r="I3" s="217"/>
      <c r="J3" s="218"/>
      <c r="K3" s="218"/>
      <c r="L3" s="219"/>
      <c r="M3" s="219"/>
      <c r="N3" s="219"/>
      <c r="O3" s="219"/>
    </row>
    <row r="4" ht="13.5" thickBot="1">
      <c r="W4" s="216" t="s">
        <v>58</v>
      </c>
    </row>
    <row r="5" spans="2:25" ht="15.75" customHeight="1">
      <c r="B5" s="870"/>
      <c r="C5" s="871"/>
      <c r="D5" s="872" t="s">
        <v>13</v>
      </c>
      <c r="E5" s="873"/>
      <c r="F5" s="873"/>
      <c r="G5" s="873"/>
      <c r="H5" s="872" t="s">
        <v>14</v>
      </c>
      <c r="I5" s="873"/>
      <c r="J5" s="874"/>
      <c r="K5" s="874"/>
      <c r="L5" s="874"/>
      <c r="M5" s="872" t="s">
        <v>15</v>
      </c>
      <c r="N5" s="875"/>
      <c r="O5" s="876"/>
      <c r="R5" s="216" t="s">
        <v>0</v>
      </c>
      <c r="S5" s="216" t="s">
        <v>1</v>
      </c>
      <c r="T5" s="216" t="s">
        <v>2</v>
      </c>
      <c r="U5" s="216" t="s">
        <v>61</v>
      </c>
      <c r="W5" s="220" t="s">
        <v>59</v>
      </c>
      <c r="X5" s="220" t="s">
        <v>3</v>
      </c>
      <c r="Y5" s="221" t="s">
        <v>60</v>
      </c>
    </row>
    <row r="6" spans="2:25" ht="13.5" thickBot="1">
      <c r="B6" s="877" t="s">
        <v>18</v>
      </c>
      <c r="C6" s="878" t="s">
        <v>0</v>
      </c>
      <c r="D6" s="879" t="s">
        <v>4</v>
      </c>
      <c r="E6" s="880" t="s">
        <v>5</v>
      </c>
      <c r="F6" s="880" t="s">
        <v>62</v>
      </c>
      <c r="G6" s="880" t="s">
        <v>6</v>
      </c>
      <c r="H6" s="881" t="s">
        <v>0</v>
      </c>
      <c r="I6" s="880" t="s">
        <v>4</v>
      </c>
      <c r="J6" s="880" t="s">
        <v>5</v>
      </c>
      <c r="K6" s="880" t="s">
        <v>61</v>
      </c>
      <c r="L6" s="880" t="s">
        <v>6</v>
      </c>
      <c r="M6" s="881" t="s">
        <v>0</v>
      </c>
      <c r="N6" s="882" t="s">
        <v>4</v>
      </c>
      <c r="O6" s="883" t="s">
        <v>5</v>
      </c>
      <c r="Q6" s="216">
        <v>1995</v>
      </c>
      <c r="R6" s="222">
        <f aca="true" t="shared" si="0" ref="R6:R22">C8</f>
        <v>4075.4080000000004</v>
      </c>
      <c r="S6" s="222">
        <f aca="true" t="shared" si="1" ref="S6:S22">D8</f>
        <v>2474.885</v>
      </c>
      <c r="T6" s="222">
        <f aca="true" t="shared" si="2" ref="T6:T22">E8</f>
        <v>1600.523</v>
      </c>
      <c r="W6" s="223"/>
      <c r="X6" s="224"/>
      <c r="Y6" s="225"/>
    </row>
    <row r="7" spans="2:25" ht="12.75">
      <c r="B7" s="226"/>
      <c r="C7" s="227"/>
      <c r="D7" s="228"/>
      <c r="E7" s="229"/>
      <c r="F7" s="229"/>
      <c r="G7" s="230"/>
      <c r="H7" s="231"/>
      <c r="I7" s="229"/>
      <c r="J7" s="229"/>
      <c r="K7" s="229"/>
      <c r="L7" s="230"/>
      <c r="M7" s="228"/>
      <c r="N7" s="232"/>
      <c r="O7" s="233"/>
      <c r="Q7" s="216">
        <v>1996</v>
      </c>
      <c r="R7" s="222">
        <f t="shared" si="0"/>
        <v>4003.201</v>
      </c>
      <c r="S7" s="222">
        <f t="shared" si="1"/>
        <v>2201.877</v>
      </c>
      <c r="T7" s="222">
        <f t="shared" si="2"/>
        <v>1801.074</v>
      </c>
      <c r="W7" s="223"/>
      <c r="X7" s="224"/>
      <c r="Y7" s="234"/>
    </row>
    <row r="8" spans="2:25" ht="12.75">
      <c r="B8" s="235">
        <v>1995</v>
      </c>
      <c r="C8" s="324">
        <f aca="true" t="shared" si="3" ref="C8:C26">SUM(D8:G8)</f>
        <v>4075.4080000000004</v>
      </c>
      <c r="D8" s="322">
        <f aca="true" t="shared" si="4" ref="D8:D24">SUM(I8,N8)</f>
        <v>2474.885</v>
      </c>
      <c r="E8" s="323">
        <f aca="true" t="shared" si="5" ref="E8:E24">SUM(J8,O8)</f>
        <v>1600.523</v>
      </c>
      <c r="F8" s="323"/>
      <c r="G8" s="331"/>
      <c r="H8" s="322">
        <f aca="true" t="shared" si="6" ref="H8:H26">SUM(I8:L8)</f>
        <v>3195.392</v>
      </c>
      <c r="I8" s="322">
        <v>2205.915</v>
      </c>
      <c r="J8" s="329">
        <v>989.477</v>
      </c>
      <c r="K8" s="329"/>
      <c r="L8" s="331"/>
      <c r="M8" s="322">
        <f aca="true" t="shared" si="7" ref="M8:M26">SUM(N8:O8)</f>
        <v>880.016</v>
      </c>
      <c r="N8" s="323">
        <v>268.97</v>
      </c>
      <c r="O8" s="320">
        <v>611.0459999999999</v>
      </c>
      <c r="Q8" s="216">
        <v>1997</v>
      </c>
      <c r="R8" s="222">
        <f t="shared" si="0"/>
        <v>4581.019</v>
      </c>
      <c r="S8" s="222">
        <f t="shared" si="1"/>
        <v>2210.904</v>
      </c>
      <c r="T8" s="222">
        <f t="shared" si="2"/>
        <v>2369.865</v>
      </c>
      <c r="W8" s="223"/>
      <c r="X8" s="224"/>
      <c r="Y8" s="234"/>
    </row>
    <row r="9" spans="2:25" ht="12.75">
      <c r="B9" s="242">
        <v>1996</v>
      </c>
      <c r="C9" s="326">
        <f t="shared" si="3"/>
        <v>4003.201</v>
      </c>
      <c r="D9" s="319">
        <f t="shared" si="4"/>
        <v>2201.877</v>
      </c>
      <c r="E9" s="317">
        <f t="shared" si="5"/>
        <v>1801.074</v>
      </c>
      <c r="F9" s="317"/>
      <c r="G9" s="328">
        <v>0.25</v>
      </c>
      <c r="H9" s="319">
        <f t="shared" si="6"/>
        <v>2879.501</v>
      </c>
      <c r="I9" s="319">
        <v>1924.851</v>
      </c>
      <c r="J9" s="317">
        <v>954.4</v>
      </c>
      <c r="K9" s="317"/>
      <c r="L9" s="317">
        <v>0.25</v>
      </c>
      <c r="M9" s="319">
        <f t="shared" si="7"/>
        <v>1123.7</v>
      </c>
      <c r="N9" s="318">
        <v>277.026</v>
      </c>
      <c r="O9" s="325">
        <v>846.6740000000001</v>
      </c>
      <c r="Q9" s="216">
        <v>1998</v>
      </c>
      <c r="R9" s="222">
        <f t="shared" si="0"/>
        <v>4781.630999999999</v>
      </c>
      <c r="S9" s="222">
        <f t="shared" si="1"/>
        <v>2116.8689999999997</v>
      </c>
      <c r="T9" s="222">
        <f t="shared" si="2"/>
        <v>2664.5119999999997</v>
      </c>
      <c r="W9" s="223"/>
      <c r="X9" s="224"/>
      <c r="Y9" s="234"/>
    </row>
    <row r="10" spans="2:25" ht="12.75">
      <c r="B10" s="235">
        <v>1997</v>
      </c>
      <c r="C10" s="324">
        <f t="shared" si="3"/>
        <v>4581.019</v>
      </c>
      <c r="D10" s="322">
        <f t="shared" si="4"/>
        <v>2210.904</v>
      </c>
      <c r="E10" s="321">
        <f t="shared" si="5"/>
        <v>2369.865</v>
      </c>
      <c r="F10" s="321"/>
      <c r="G10" s="330">
        <v>0.25</v>
      </c>
      <c r="H10" s="322">
        <f t="shared" si="6"/>
        <v>3826.8329999999996</v>
      </c>
      <c r="I10" s="322">
        <v>2120.171</v>
      </c>
      <c r="J10" s="321">
        <v>1706.4119999999998</v>
      </c>
      <c r="K10" s="321"/>
      <c r="L10" s="321">
        <v>0.25</v>
      </c>
      <c r="M10" s="322">
        <f t="shared" si="7"/>
        <v>754.1859999999999</v>
      </c>
      <c r="N10" s="323">
        <v>90.733</v>
      </c>
      <c r="O10" s="320">
        <v>663.453</v>
      </c>
      <c r="Q10" s="216">
        <v>1999</v>
      </c>
      <c r="R10" s="222">
        <f t="shared" si="0"/>
        <v>5116.156</v>
      </c>
      <c r="S10" s="222">
        <f t="shared" si="1"/>
        <v>2318.108</v>
      </c>
      <c r="T10" s="222">
        <f t="shared" si="2"/>
        <v>2797.348</v>
      </c>
      <c r="W10" s="223"/>
      <c r="X10" s="224"/>
      <c r="Y10" s="234"/>
    </row>
    <row r="11" spans="2:25" ht="12.75">
      <c r="B11" s="242">
        <v>1998</v>
      </c>
      <c r="C11" s="326">
        <f t="shared" si="3"/>
        <v>4781.630999999999</v>
      </c>
      <c r="D11" s="319">
        <f t="shared" si="4"/>
        <v>2116.8689999999997</v>
      </c>
      <c r="E11" s="317">
        <f t="shared" si="5"/>
        <v>2664.5119999999997</v>
      </c>
      <c r="F11" s="317"/>
      <c r="G11" s="328">
        <v>0.25</v>
      </c>
      <c r="H11" s="319">
        <f t="shared" si="6"/>
        <v>4020.8509999999997</v>
      </c>
      <c r="I11" s="327">
        <v>2022.9019999999998</v>
      </c>
      <c r="J11" s="318">
        <v>1997.649</v>
      </c>
      <c r="K11" s="318"/>
      <c r="L11" s="317">
        <v>0.3</v>
      </c>
      <c r="M11" s="319">
        <f t="shared" si="7"/>
        <v>760.8299999999999</v>
      </c>
      <c r="N11" s="318">
        <v>93.96700000000001</v>
      </c>
      <c r="O11" s="325">
        <v>666.8629999999999</v>
      </c>
      <c r="Q11" s="216">
        <v>2000</v>
      </c>
      <c r="R11" s="222">
        <f t="shared" si="0"/>
        <v>5554.8460000000005</v>
      </c>
      <c r="S11" s="222">
        <f t="shared" si="1"/>
        <v>2650.8950000000004</v>
      </c>
      <c r="T11" s="222">
        <f t="shared" si="2"/>
        <v>2903.251</v>
      </c>
      <c r="W11" s="223"/>
      <c r="X11" s="224"/>
      <c r="Y11" s="234"/>
    </row>
    <row r="12" spans="2:25" ht="12.75">
      <c r="B12" s="235">
        <v>1999</v>
      </c>
      <c r="C12" s="324">
        <f t="shared" si="3"/>
        <v>5116.156</v>
      </c>
      <c r="D12" s="322">
        <f t="shared" si="4"/>
        <v>2318.108</v>
      </c>
      <c r="E12" s="321">
        <f t="shared" si="5"/>
        <v>2797.348</v>
      </c>
      <c r="F12" s="321"/>
      <c r="G12" s="330">
        <v>0.7</v>
      </c>
      <c r="H12" s="322">
        <f t="shared" si="6"/>
        <v>4317.928999999999</v>
      </c>
      <c r="I12" s="329">
        <v>2242.625</v>
      </c>
      <c r="J12" s="321">
        <v>2074.604</v>
      </c>
      <c r="K12" s="321"/>
      <c r="L12" s="321">
        <v>0.7</v>
      </c>
      <c r="M12" s="322">
        <f t="shared" si="7"/>
        <v>798.227</v>
      </c>
      <c r="N12" s="323">
        <v>75.48299999999999</v>
      </c>
      <c r="O12" s="320">
        <v>722.744</v>
      </c>
      <c r="Q12" s="216">
        <v>2001</v>
      </c>
      <c r="R12" s="222">
        <f t="shared" si="0"/>
        <v>5387.177</v>
      </c>
      <c r="S12" s="222">
        <f t="shared" si="1"/>
        <v>2744.5029999999997</v>
      </c>
      <c r="T12" s="222">
        <f t="shared" si="2"/>
        <v>2641.974</v>
      </c>
      <c r="W12" s="223"/>
      <c r="X12" s="249"/>
      <c r="Y12" s="234"/>
    </row>
    <row r="13" spans="2:25" ht="12.75">
      <c r="B13" s="242">
        <v>2000</v>
      </c>
      <c r="C13" s="326">
        <f t="shared" si="3"/>
        <v>5554.8460000000005</v>
      </c>
      <c r="D13" s="319">
        <f t="shared" si="4"/>
        <v>2650.8950000000004</v>
      </c>
      <c r="E13" s="317">
        <f t="shared" si="5"/>
        <v>2903.251</v>
      </c>
      <c r="F13" s="317"/>
      <c r="G13" s="328">
        <f>L13</f>
        <v>0.7</v>
      </c>
      <c r="H13" s="319">
        <f t="shared" si="6"/>
        <v>4775.935</v>
      </c>
      <c r="I13" s="327">
        <v>2575.9240000000004</v>
      </c>
      <c r="J13" s="317">
        <v>2199.311</v>
      </c>
      <c r="K13" s="317"/>
      <c r="L13" s="317">
        <v>0.7</v>
      </c>
      <c r="M13" s="319">
        <f t="shared" si="7"/>
        <v>778.9110000000001</v>
      </c>
      <c r="N13" s="318">
        <v>74.971</v>
      </c>
      <c r="O13" s="325">
        <v>703.94</v>
      </c>
      <c r="Q13" s="250">
        <v>2002</v>
      </c>
      <c r="R13" s="222">
        <f t="shared" si="0"/>
        <v>5395.669</v>
      </c>
      <c r="S13" s="222">
        <f t="shared" si="1"/>
        <v>2775.2819999999997</v>
      </c>
      <c r="T13" s="222">
        <f t="shared" si="2"/>
        <v>2619.6870000000004</v>
      </c>
      <c r="W13" s="223"/>
      <c r="X13" s="249"/>
      <c r="Y13" s="234"/>
    </row>
    <row r="14" spans="2:25" ht="12.75">
      <c r="B14" s="235">
        <v>2001</v>
      </c>
      <c r="C14" s="324">
        <f t="shared" si="3"/>
        <v>5387.177</v>
      </c>
      <c r="D14" s="322">
        <f t="shared" si="4"/>
        <v>2744.5029999999997</v>
      </c>
      <c r="E14" s="321">
        <f t="shared" si="5"/>
        <v>2641.974</v>
      </c>
      <c r="F14" s="321"/>
      <c r="G14" s="321">
        <v>0.7</v>
      </c>
      <c r="H14" s="321">
        <f t="shared" si="6"/>
        <v>4642.063999999999</v>
      </c>
      <c r="I14" s="321">
        <v>2674.8349999999996</v>
      </c>
      <c r="J14" s="321">
        <v>1966.529</v>
      </c>
      <c r="K14" s="321"/>
      <c r="L14" s="321">
        <f>+'[2]Desagregado'!N17</f>
        <v>0.7</v>
      </c>
      <c r="M14" s="321">
        <f t="shared" si="7"/>
        <v>745.1130000000002</v>
      </c>
      <c r="N14" s="321">
        <v>69.66799999999999</v>
      </c>
      <c r="O14" s="320">
        <v>675.4450000000002</v>
      </c>
      <c r="Q14" s="216">
        <v>2003</v>
      </c>
      <c r="R14" s="222">
        <f t="shared" si="0"/>
        <v>5421.807</v>
      </c>
      <c r="S14" s="222">
        <f t="shared" si="1"/>
        <v>2790.273</v>
      </c>
      <c r="T14" s="222">
        <f t="shared" si="2"/>
        <v>2630.8340000000003</v>
      </c>
      <c r="W14" s="251"/>
      <c r="X14" s="252"/>
      <c r="Y14" s="253"/>
    </row>
    <row r="15" spans="2:20" ht="12.75">
      <c r="B15" s="242">
        <v>2002</v>
      </c>
      <c r="C15" s="326">
        <f t="shared" si="3"/>
        <v>5395.669</v>
      </c>
      <c r="D15" s="319">
        <f t="shared" si="4"/>
        <v>2775.2819999999997</v>
      </c>
      <c r="E15" s="317">
        <f t="shared" si="5"/>
        <v>2619.6870000000004</v>
      </c>
      <c r="F15" s="317"/>
      <c r="G15" s="317">
        <f aca="true" t="shared" si="8" ref="G15:G24">SUM(L15)</f>
        <v>0.7</v>
      </c>
      <c r="H15" s="317">
        <f t="shared" si="6"/>
        <v>4657.826999999999</v>
      </c>
      <c r="I15" s="317">
        <v>2702.863</v>
      </c>
      <c r="J15" s="317">
        <v>1954.264</v>
      </c>
      <c r="K15" s="317"/>
      <c r="L15" s="317">
        <f>+'[2]Desagregado'!N18</f>
        <v>0.7</v>
      </c>
      <c r="M15" s="317">
        <f t="shared" si="7"/>
        <v>737.8420000000006</v>
      </c>
      <c r="N15" s="317">
        <v>72.419</v>
      </c>
      <c r="O15" s="325">
        <v>665.4230000000006</v>
      </c>
      <c r="Q15" s="216">
        <v>2004</v>
      </c>
      <c r="R15" s="222">
        <f t="shared" si="0"/>
        <v>5417.959070000002</v>
      </c>
      <c r="S15" s="222">
        <f t="shared" si="1"/>
        <v>2815.004070000001</v>
      </c>
      <c r="T15" s="222">
        <f t="shared" si="2"/>
        <v>2602.2550000000006</v>
      </c>
    </row>
    <row r="16" spans="2:20" ht="12.75">
      <c r="B16" s="235">
        <v>2003</v>
      </c>
      <c r="C16" s="324">
        <f t="shared" si="3"/>
        <v>5421.807</v>
      </c>
      <c r="D16" s="322">
        <f t="shared" si="4"/>
        <v>2790.273</v>
      </c>
      <c r="E16" s="321">
        <f t="shared" si="5"/>
        <v>2630.8340000000003</v>
      </c>
      <c r="F16" s="321"/>
      <c r="G16" s="321">
        <f t="shared" si="8"/>
        <v>0.7</v>
      </c>
      <c r="H16" s="321">
        <f t="shared" si="6"/>
        <v>4686.394</v>
      </c>
      <c r="I16" s="321">
        <v>2720.2290000000003</v>
      </c>
      <c r="J16" s="321">
        <v>1965.465</v>
      </c>
      <c r="K16" s="321"/>
      <c r="L16" s="321">
        <f>+'[2]Desagregado'!N19</f>
        <v>0.7</v>
      </c>
      <c r="M16" s="321">
        <f t="shared" si="7"/>
        <v>735.4130000000004</v>
      </c>
      <c r="N16" s="321">
        <v>70.04399999999998</v>
      </c>
      <c r="O16" s="320">
        <v>665.3690000000004</v>
      </c>
      <c r="Q16" s="216">
        <v>2005</v>
      </c>
      <c r="R16" s="222">
        <f t="shared" si="0"/>
        <v>5610.925</v>
      </c>
      <c r="S16" s="222">
        <f t="shared" si="1"/>
        <v>2989.203</v>
      </c>
      <c r="T16" s="222">
        <f t="shared" si="2"/>
        <v>2621.022</v>
      </c>
    </row>
    <row r="17" spans="2:20" ht="12.75">
      <c r="B17" s="242">
        <v>2004</v>
      </c>
      <c r="C17" s="326">
        <f t="shared" si="3"/>
        <v>5417.959070000002</v>
      </c>
      <c r="D17" s="319">
        <f t="shared" si="4"/>
        <v>2815.004070000001</v>
      </c>
      <c r="E17" s="317">
        <f t="shared" si="5"/>
        <v>2602.2550000000006</v>
      </c>
      <c r="F17" s="317"/>
      <c r="G17" s="317">
        <f t="shared" si="8"/>
        <v>0.7</v>
      </c>
      <c r="H17" s="317">
        <f t="shared" si="6"/>
        <v>4657.315070000001</v>
      </c>
      <c r="I17" s="317">
        <v>2747.272070000001</v>
      </c>
      <c r="J17" s="317">
        <v>1909.343</v>
      </c>
      <c r="K17" s="317"/>
      <c r="L17" s="317">
        <f>+'[2]Desagregado'!N20</f>
        <v>0.7</v>
      </c>
      <c r="M17" s="317">
        <f t="shared" si="7"/>
        <v>760.6440000000003</v>
      </c>
      <c r="N17" s="317">
        <v>67.732</v>
      </c>
      <c r="O17" s="325">
        <v>692.9120000000004</v>
      </c>
      <c r="Q17" s="216">
        <v>2006</v>
      </c>
      <c r="R17" s="222">
        <f t="shared" si="0"/>
        <v>5873.400000000001</v>
      </c>
      <c r="S17" s="222">
        <f t="shared" si="1"/>
        <v>2995.974</v>
      </c>
      <c r="T17" s="222">
        <f t="shared" si="2"/>
        <v>2876.7260000000006</v>
      </c>
    </row>
    <row r="18" spans="2:20" ht="12.75">
      <c r="B18" s="235">
        <v>2005</v>
      </c>
      <c r="C18" s="324">
        <f t="shared" si="3"/>
        <v>5610.925</v>
      </c>
      <c r="D18" s="322">
        <f t="shared" si="4"/>
        <v>2989.203</v>
      </c>
      <c r="E18" s="323">
        <f t="shared" si="5"/>
        <v>2621.022</v>
      </c>
      <c r="F18" s="323"/>
      <c r="G18" s="321">
        <f t="shared" si="8"/>
        <v>0.7</v>
      </c>
      <c r="H18" s="322">
        <f t="shared" si="6"/>
        <v>4798.663</v>
      </c>
      <c r="I18" s="321">
        <v>2918.773</v>
      </c>
      <c r="J18" s="323">
        <v>1879.1899999999998</v>
      </c>
      <c r="K18" s="323"/>
      <c r="L18" s="321">
        <f>+'[2]Desagregado'!N21</f>
        <v>0.7</v>
      </c>
      <c r="M18" s="322">
        <f t="shared" si="7"/>
        <v>812.2620000000004</v>
      </c>
      <c r="N18" s="321">
        <v>70.43</v>
      </c>
      <c r="O18" s="320">
        <v>741.8320000000003</v>
      </c>
      <c r="Q18" s="250">
        <v>2007</v>
      </c>
      <c r="R18" s="222">
        <f t="shared" si="0"/>
        <v>6352.013999999998</v>
      </c>
      <c r="S18" s="222">
        <f t="shared" si="1"/>
        <v>3013.297999999998</v>
      </c>
      <c r="T18" s="222">
        <f t="shared" si="2"/>
        <v>3338.0160000000005</v>
      </c>
    </row>
    <row r="19" spans="2:20" ht="12.75">
      <c r="B19" s="242">
        <v>2006</v>
      </c>
      <c r="C19" s="326">
        <f t="shared" si="3"/>
        <v>5873.400000000001</v>
      </c>
      <c r="D19" s="319">
        <f t="shared" si="4"/>
        <v>2995.974</v>
      </c>
      <c r="E19" s="318">
        <f t="shared" si="5"/>
        <v>2876.7260000000006</v>
      </c>
      <c r="F19" s="318"/>
      <c r="G19" s="317">
        <f t="shared" si="8"/>
        <v>0.7</v>
      </c>
      <c r="H19" s="319">
        <f t="shared" si="6"/>
        <v>5064.362</v>
      </c>
      <c r="I19" s="317">
        <v>2926.618</v>
      </c>
      <c r="J19" s="318">
        <v>2137.0440000000003</v>
      </c>
      <c r="K19" s="318"/>
      <c r="L19" s="317">
        <f>+'[2]Desagregado'!N22</f>
        <v>0.7</v>
      </c>
      <c r="M19" s="319">
        <f t="shared" si="7"/>
        <v>809.038</v>
      </c>
      <c r="N19" s="317">
        <v>69.356</v>
      </c>
      <c r="O19" s="325">
        <v>739.682</v>
      </c>
      <c r="Q19" s="216">
        <v>2008</v>
      </c>
      <c r="R19" s="222">
        <f t="shared" si="0"/>
        <v>6348.944</v>
      </c>
      <c r="S19" s="222">
        <f t="shared" si="1"/>
        <v>3027.9020000000005</v>
      </c>
      <c r="T19" s="222">
        <f t="shared" si="2"/>
        <v>3320.3419999999996</v>
      </c>
    </row>
    <row r="20" spans="2:20" ht="12.75">
      <c r="B20" s="235">
        <v>2007</v>
      </c>
      <c r="C20" s="324">
        <f t="shared" si="3"/>
        <v>6352.013999999998</v>
      </c>
      <c r="D20" s="322">
        <f t="shared" si="4"/>
        <v>3013.297999999998</v>
      </c>
      <c r="E20" s="323">
        <f t="shared" si="5"/>
        <v>3338.0160000000005</v>
      </c>
      <c r="F20" s="323"/>
      <c r="G20" s="321">
        <f t="shared" si="8"/>
        <v>0.7</v>
      </c>
      <c r="H20" s="322">
        <f t="shared" si="6"/>
        <v>5532.854999999999</v>
      </c>
      <c r="I20" s="321">
        <v>2939.586999999998</v>
      </c>
      <c r="J20" s="323">
        <v>2592.5680000000007</v>
      </c>
      <c r="K20" s="323"/>
      <c r="L20" s="321">
        <f>+'[2]Desagregado'!N23</f>
        <v>0.7</v>
      </c>
      <c r="M20" s="322">
        <f t="shared" si="7"/>
        <v>819.1590000000001</v>
      </c>
      <c r="N20" s="321">
        <v>73.71099999999998</v>
      </c>
      <c r="O20" s="320">
        <v>745.4480000000001</v>
      </c>
      <c r="Q20" s="216">
        <v>2009</v>
      </c>
      <c r="R20" s="222">
        <f t="shared" si="0"/>
        <v>7256.347</v>
      </c>
      <c r="S20" s="222">
        <f t="shared" si="1"/>
        <v>3115.768</v>
      </c>
      <c r="T20" s="222">
        <f t="shared" si="2"/>
        <v>4139.879</v>
      </c>
    </row>
    <row r="21" spans="2:20" ht="12.75">
      <c r="B21" s="242">
        <v>2008</v>
      </c>
      <c r="C21" s="326">
        <f t="shared" si="3"/>
        <v>6348.944</v>
      </c>
      <c r="D21" s="319">
        <f t="shared" si="4"/>
        <v>3027.9020000000005</v>
      </c>
      <c r="E21" s="318">
        <f t="shared" si="5"/>
        <v>3320.3419999999996</v>
      </c>
      <c r="F21" s="318"/>
      <c r="G21" s="317">
        <f t="shared" si="8"/>
        <v>0.7</v>
      </c>
      <c r="H21" s="319">
        <f t="shared" si="6"/>
        <v>5444.215999999999</v>
      </c>
      <c r="I21" s="317">
        <v>2953.1210000000005</v>
      </c>
      <c r="J21" s="318">
        <v>2490.3949999999995</v>
      </c>
      <c r="K21" s="318"/>
      <c r="L21" s="317">
        <f>+'[2]Desagregado'!N24</f>
        <v>0.7</v>
      </c>
      <c r="M21" s="319">
        <f t="shared" si="7"/>
        <v>904.728</v>
      </c>
      <c r="N21" s="317">
        <v>74.78099999999998</v>
      </c>
      <c r="O21" s="325">
        <v>829.947</v>
      </c>
      <c r="Q21" s="216">
        <v>2010</v>
      </c>
      <c r="R21" s="222">
        <f t="shared" si="0"/>
        <v>8000.3870000000015</v>
      </c>
      <c r="S21" s="222">
        <f t="shared" si="1"/>
        <v>3317.4450000000006</v>
      </c>
      <c r="T21" s="222">
        <f t="shared" si="2"/>
        <v>4682.242000000001</v>
      </c>
    </row>
    <row r="22" spans="2:20" ht="12.75">
      <c r="B22" s="235">
        <v>2009</v>
      </c>
      <c r="C22" s="324">
        <f t="shared" si="3"/>
        <v>7256.347</v>
      </c>
      <c r="D22" s="322">
        <f t="shared" si="4"/>
        <v>3115.768</v>
      </c>
      <c r="E22" s="323">
        <f t="shared" si="5"/>
        <v>4139.879</v>
      </c>
      <c r="F22" s="323"/>
      <c r="G22" s="321">
        <f t="shared" si="8"/>
        <v>0.7</v>
      </c>
      <c r="H22" s="322">
        <f t="shared" si="6"/>
        <v>6246.409000000001</v>
      </c>
      <c r="I22" s="321">
        <v>3037.1620000000003</v>
      </c>
      <c r="J22" s="323">
        <v>3208.547</v>
      </c>
      <c r="K22" s="323"/>
      <c r="L22" s="321">
        <f>+'[2]Desagregado'!N25</f>
        <v>0.7</v>
      </c>
      <c r="M22" s="322">
        <f t="shared" si="7"/>
        <v>1009.9380000000001</v>
      </c>
      <c r="N22" s="321">
        <v>78.606</v>
      </c>
      <c r="O22" s="320">
        <v>931.3320000000001</v>
      </c>
      <c r="Q22" s="216">
        <v>2011</v>
      </c>
      <c r="R22" s="222">
        <f t="shared" si="0"/>
        <v>8045.517000000001</v>
      </c>
      <c r="S22" s="222">
        <f t="shared" si="1"/>
        <v>3328.6140000000005</v>
      </c>
      <c r="T22" s="222">
        <f t="shared" si="2"/>
        <v>4716.203</v>
      </c>
    </row>
    <row r="23" spans="2:21" ht="12.75">
      <c r="B23" s="242">
        <v>2010</v>
      </c>
      <c r="C23" s="315">
        <f t="shared" si="3"/>
        <v>8000.3870000000015</v>
      </c>
      <c r="D23" s="319">
        <f t="shared" si="4"/>
        <v>3317.4450000000006</v>
      </c>
      <c r="E23" s="318">
        <f t="shared" si="5"/>
        <v>4682.242000000001</v>
      </c>
      <c r="F23" s="318"/>
      <c r="G23" s="312">
        <f t="shared" si="8"/>
        <v>0.7</v>
      </c>
      <c r="H23" s="313">
        <f t="shared" si="6"/>
        <v>6875.038000000001</v>
      </c>
      <c r="I23" s="312">
        <v>3237.361000000001</v>
      </c>
      <c r="J23" s="314">
        <v>3636.9770000000008</v>
      </c>
      <c r="K23" s="314"/>
      <c r="L23" s="317">
        <f>+'[2]Desagregado'!N26</f>
        <v>0.7</v>
      </c>
      <c r="M23" s="313">
        <f t="shared" si="7"/>
        <v>1125.3490000000004</v>
      </c>
      <c r="N23" s="312">
        <v>80.084</v>
      </c>
      <c r="O23" s="311">
        <v>1045.2650000000003</v>
      </c>
      <c r="Q23" s="216">
        <v>2012</v>
      </c>
      <c r="R23" s="222">
        <f aca="true" t="shared" si="9" ref="R23:T24">C25</f>
        <v>8939.257000000001</v>
      </c>
      <c r="S23" s="222">
        <f t="shared" si="9"/>
        <v>3360.136</v>
      </c>
      <c r="T23" s="222">
        <f t="shared" si="9"/>
        <v>5498.421</v>
      </c>
      <c r="U23" s="216">
        <v>80</v>
      </c>
    </row>
    <row r="24" spans="2:21" ht="12.75">
      <c r="B24" s="235">
        <v>2011</v>
      </c>
      <c r="C24" s="324">
        <f t="shared" si="3"/>
        <v>8045.517000000001</v>
      </c>
      <c r="D24" s="322">
        <f t="shared" si="4"/>
        <v>3328.6140000000005</v>
      </c>
      <c r="E24" s="323">
        <f t="shared" si="5"/>
        <v>4716.203</v>
      </c>
      <c r="F24" s="323"/>
      <c r="G24" s="321">
        <f t="shared" si="8"/>
        <v>0.7</v>
      </c>
      <c r="H24" s="322">
        <f t="shared" si="6"/>
        <v>6867.821000000001</v>
      </c>
      <c r="I24" s="321">
        <v>3246.6250000000005</v>
      </c>
      <c r="J24" s="323">
        <v>3620.4960000000005</v>
      </c>
      <c r="K24" s="323"/>
      <c r="L24" s="321">
        <f>+'[2]Desagregado'!N27</f>
        <v>0.7</v>
      </c>
      <c r="M24" s="322">
        <f t="shared" si="7"/>
        <v>1177.6960000000001</v>
      </c>
      <c r="N24" s="321">
        <v>81.989</v>
      </c>
      <c r="O24" s="320">
        <v>1095.707</v>
      </c>
      <c r="Q24" s="216">
        <v>2013</v>
      </c>
      <c r="R24" s="222">
        <f t="shared" si="9"/>
        <v>9885.272000000003</v>
      </c>
      <c r="S24" s="222">
        <f t="shared" si="9"/>
        <v>3414.407999999999</v>
      </c>
      <c r="T24" s="222">
        <f t="shared" si="9"/>
        <v>6390.1640000000025</v>
      </c>
      <c r="U24" s="222">
        <f>F26</f>
        <v>80</v>
      </c>
    </row>
    <row r="25" spans="2:20" ht="12.75">
      <c r="B25" s="242">
        <v>2012</v>
      </c>
      <c r="C25" s="315">
        <f t="shared" si="3"/>
        <v>8939.257000000001</v>
      </c>
      <c r="D25" s="319">
        <f>SUM(I25,N25)</f>
        <v>3360.136</v>
      </c>
      <c r="E25" s="318">
        <f>SUM(J25,O25)</f>
        <v>5498.421</v>
      </c>
      <c r="F25" s="318">
        <f>SUM(K25)</f>
        <v>80</v>
      </c>
      <c r="G25" s="312">
        <f>SUM(L25)</f>
        <v>0.7</v>
      </c>
      <c r="H25" s="313">
        <f t="shared" si="6"/>
        <v>7754.905</v>
      </c>
      <c r="I25" s="312">
        <v>3270.5969999999998</v>
      </c>
      <c r="J25" s="314">
        <v>4403.608</v>
      </c>
      <c r="K25" s="314">
        <v>80</v>
      </c>
      <c r="L25" s="317">
        <v>0.7</v>
      </c>
      <c r="M25" s="313">
        <f t="shared" si="7"/>
        <v>1184.352</v>
      </c>
      <c r="N25" s="312">
        <v>89.53900000000002</v>
      </c>
      <c r="O25" s="311">
        <v>1094.813</v>
      </c>
      <c r="R25" s="222"/>
      <c r="S25" s="222"/>
      <c r="T25" s="222"/>
    </row>
    <row r="26" spans="2:20" ht="12.75">
      <c r="B26" s="235">
        <v>2013</v>
      </c>
      <c r="C26" s="324">
        <f t="shared" si="3"/>
        <v>9885.272000000003</v>
      </c>
      <c r="D26" s="322">
        <f>SUM(I26,N26)</f>
        <v>3414.407999999999</v>
      </c>
      <c r="E26" s="323">
        <f>SUM(J26,O26)</f>
        <v>6390.1640000000025</v>
      </c>
      <c r="F26" s="323">
        <f>SUM(K26)</f>
        <v>80</v>
      </c>
      <c r="G26" s="321">
        <f>SUM(L26)</f>
        <v>0.7</v>
      </c>
      <c r="H26" s="322">
        <f t="shared" si="6"/>
        <v>8680.421000000002</v>
      </c>
      <c r="I26" s="321">
        <v>3337.035999999999</v>
      </c>
      <c r="J26" s="323">
        <v>5262.685000000003</v>
      </c>
      <c r="K26" s="323">
        <v>80</v>
      </c>
      <c r="L26" s="321">
        <v>0.7</v>
      </c>
      <c r="M26" s="322">
        <f t="shared" si="7"/>
        <v>1204.8509999999999</v>
      </c>
      <c r="N26" s="321">
        <v>77.37199999999997</v>
      </c>
      <c r="O26" s="320">
        <v>1127.4789999999998</v>
      </c>
      <c r="R26" s="222"/>
      <c r="S26" s="222"/>
      <c r="T26" s="222"/>
    </row>
    <row r="27" spans="2:20" ht="13.5" thickBot="1">
      <c r="B27" s="857"/>
      <c r="C27" s="958"/>
      <c r="D27" s="959"/>
      <c r="E27" s="960"/>
      <c r="F27" s="960"/>
      <c r="G27" s="961"/>
      <c r="H27" s="959"/>
      <c r="I27" s="961"/>
      <c r="J27" s="960"/>
      <c r="K27" s="960"/>
      <c r="L27" s="961"/>
      <c r="M27" s="959"/>
      <c r="N27" s="961"/>
      <c r="O27" s="962"/>
      <c r="R27" s="222"/>
      <c r="S27" s="222"/>
      <c r="T27" s="222"/>
    </row>
    <row r="28" spans="2:26" ht="12.75">
      <c r="B28" s="282" t="s">
        <v>254</v>
      </c>
      <c r="C28" s="283">
        <f>(C26/C25)-1</f>
        <v>0.10582702790623433</v>
      </c>
      <c r="D28" s="284">
        <f>(D26/D25)-1</f>
        <v>0.016151727191994425</v>
      </c>
      <c r="E28" s="285">
        <f>(E26/E25)-1</f>
        <v>0.16218165178694077</v>
      </c>
      <c r="F28" s="267"/>
      <c r="G28" s="276"/>
      <c r="H28" s="283">
        <f>(H26/H25)-1</f>
        <v>0.11934588495926168</v>
      </c>
      <c r="I28" s="284">
        <f>(I26/I25)-1</f>
        <v>0.02031402829513973</v>
      </c>
      <c r="J28" s="285">
        <f>(J26/J25)-1</f>
        <v>0.19508480318865873</v>
      </c>
      <c r="K28" s="267"/>
      <c r="L28" s="276"/>
      <c r="M28" s="283">
        <f>(M26/M25)-1</f>
        <v>0.01730819891383617</v>
      </c>
      <c r="N28" s="284">
        <f>(N26/N25)-1</f>
        <v>-0.1358849216542517</v>
      </c>
      <c r="O28" s="285">
        <f>(O26/O25)-1</f>
        <v>0.029837058931525107</v>
      </c>
      <c r="R28" s="222"/>
      <c r="S28" s="222"/>
      <c r="T28" s="222"/>
      <c r="W28" s="220"/>
      <c r="X28" s="270"/>
      <c r="Y28" s="270"/>
      <c r="Z28" s="271"/>
    </row>
    <row r="29" spans="2:26" ht="12.75">
      <c r="B29" s="272" t="s">
        <v>255</v>
      </c>
      <c r="C29" s="273">
        <f>((C26/C21)^(1/5))-1</f>
        <v>0.0925905136340952</v>
      </c>
      <c r="D29" s="274">
        <f>((D26/D21)^(1/5))-1</f>
        <v>0.024317800928510547</v>
      </c>
      <c r="E29" s="275">
        <f>((E26/E21)^(1/5))-1</f>
        <v>0.1398975941723748</v>
      </c>
      <c r="F29" s="267"/>
      <c r="G29" s="276"/>
      <c r="H29" s="273">
        <f>((H26/H21)^(1/5))-1</f>
        <v>0.09779459519733513</v>
      </c>
      <c r="I29" s="274">
        <f>((I26/I21)^(1/5))-1</f>
        <v>0.024745287929726523</v>
      </c>
      <c r="J29" s="275">
        <f>((J26/J21)^(1/5))-1</f>
        <v>0.16141606240598172</v>
      </c>
      <c r="K29" s="267"/>
      <c r="L29" s="277"/>
      <c r="M29" s="273">
        <f>((M26/M21)^(1/5))-1</f>
        <v>0.05896854979615118</v>
      </c>
      <c r="N29" s="274">
        <f>((N26/N21)^(1/5))-1</f>
        <v>0.006835479174944981</v>
      </c>
      <c r="O29" s="275">
        <f>((O26/O21)^(1/5))-1</f>
        <v>0.06319180499477262</v>
      </c>
      <c r="R29" s="222"/>
      <c r="S29" s="222"/>
      <c r="T29" s="222"/>
      <c r="W29" s="286"/>
      <c r="X29" s="287"/>
      <c r="Y29" s="287"/>
      <c r="Z29" s="288"/>
    </row>
    <row r="30" spans="2:26" ht="12.75">
      <c r="B30" s="282" t="s">
        <v>256</v>
      </c>
      <c r="C30" s="283">
        <f>(C26/C13)-1</f>
        <v>0.7795762474783283</v>
      </c>
      <c r="D30" s="284">
        <f>(D26/D13)-1</f>
        <v>0.28802083824519586</v>
      </c>
      <c r="E30" s="285">
        <f>(E26/E13)-1</f>
        <v>1.201037388775549</v>
      </c>
      <c r="F30" s="267"/>
      <c r="G30" s="276"/>
      <c r="H30" s="283">
        <f>(H26/H13)-1</f>
        <v>0.8175333207005542</v>
      </c>
      <c r="I30" s="284">
        <f>(I26/I13)-1</f>
        <v>0.2954714502446496</v>
      </c>
      <c r="J30" s="285">
        <f>(J26/J13)-1</f>
        <v>1.3928789516353088</v>
      </c>
      <c r="K30" s="267"/>
      <c r="L30" s="277"/>
      <c r="M30" s="283">
        <f>(M26/M13)-1</f>
        <v>0.5468403963995885</v>
      </c>
      <c r="N30" s="284">
        <f>(N26/N13)-1</f>
        <v>0.032025716610422306</v>
      </c>
      <c r="O30" s="285">
        <f>(O26/O13)-1</f>
        <v>0.6016691763502566</v>
      </c>
      <c r="W30" s="310"/>
      <c r="X30" s="309"/>
      <c r="Y30" s="309"/>
      <c r="Z30" s="309"/>
    </row>
    <row r="31" spans="2:26" ht="12.75" customHeight="1" thickBot="1">
      <c r="B31" s="289" t="s">
        <v>257</v>
      </c>
      <c r="C31" s="308">
        <f>((C26/C13)^(1/13))-1</f>
        <v>0.04533411275726351</v>
      </c>
      <c r="D31" s="291">
        <f>((D26/D13)^(1/13))-1</f>
        <v>0.019660526080287566</v>
      </c>
      <c r="E31" s="293">
        <f>((E26/E13)^(1/13))-1</f>
        <v>0.06256609821633385</v>
      </c>
      <c r="F31" s="267"/>
      <c r="G31" s="277"/>
      <c r="H31" s="308">
        <f>((H26/H13)^(1/13))-1</f>
        <v>0.047032550042122034</v>
      </c>
      <c r="I31" s="291">
        <f>((I26/I13)^(1/13))-1</f>
        <v>0.020113032328457736</v>
      </c>
      <c r="J31" s="293">
        <f>((J26/J13)^(1/13))-1</f>
        <v>0.06941863712004448</v>
      </c>
      <c r="K31" s="267"/>
      <c r="L31" s="277"/>
      <c r="M31" s="308">
        <f>((M26/M13)^(1/13))-1</f>
        <v>0.03412427099413029</v>
      </c>
      <c r="N31" s="291">
        <f>((N26/N13)^(1/13))-1</f>
        <v>0.0024278336531458056</v>
      </c>
      <c r="O31" s="293">
        <f>((O26/O13)^(1/13))-1</f>
        <v>0.03689879696584519</v>
      </c>
      <c r="W31" s="307"/>
      <c r="X31" s="306"/>
      <c r="Y31" s="306"/>
      <c r="Z31" s="306"/>
    </row>
    <row r="32" spans="2:26" ht="12.75">
      <c r="B32" s="296"/>
      <c r="R32" s="216" t="s">
        <v>46</v>
      </c>
      <c r="W32" s="286"/>
      <c r="X32" s="297"/>
      <c r="Y32" s="297"/>
      <c r="Z32" s="298"/>
    </row>
    <row r="33" spans="2:26" ht="12.75">
      <c r="B33" s="299"/>
      <c r="R33" s="216" t="s">
        <v>0</v>
      </c>
      <c r="S33" s="216" t="s">
        <v>4</v>
      </c>
      <c r="T33" s="216" t="s">
        <v>5</v>
      </c>
      <c r="U33" s="216" t="s">
        <v>61</v>
      </c>
      <c r="W33" s="300"/>
      <c r="X33" s="301"/>
      <c r="Y33" s="301"/>
      <c r="Z33" s="302"/>
    </row>
    <row r="34" spans="17:26" ht="12.75">
      <c r="Q34" s="216">
        <v>1995</v>
      </c>
      <c r="R34" s="222">
        <f aca="true" t="shared" si="10" ref="R34:R50">H8</f>
        <v>3195.392</v>
      </c>
      <c r="S34" s="222">
        <f aca="true" t="shared" si="11" ref="S34:S50">I8</f>
        <v>2205.915</v>
      </c>
      <c r="T34" s="222">
        <f aca="true" t="shared" si="12" ref="T34:T50">J8</f>
        <v>989.477</v>
      </c>
      <c r="W34" s="303"/>
      <c r="X34" s="304"/>
      <c r="Y34" s="304"/>
      <c r="Z34" s="305"/>
    </row>
    <row r="35" spans="17:20" ht="12.75">
      <c r="Q35" s="216">
        <v>1996</v>
      </c>
      <c r="R35" s="222">
        <f t="shared" si="10"/>
        <v>2879.501</v>
      </c>
      <c r="S35" s="222">
        <f t="shared" si="11"/>
        <v>1924.851</v>
      </c>
      <c r="T35" s="222">
        <f t="shared" si="12"/>
        <v>954.4</v>
      </c>
    </row>
    <row r="36" spans="17:20" ht="12.75">
      <c r="Q36" s="216">
        <v>1997</v>
      </c>
      <c r="R36" s="222">
        <f t="shared" si="10"/>
        <v>3826.8329999999996</v>
      </c>
      <c r="S36" s="222">
        <f t="shared" si="11"/>
        <v>2120.171</v>
      </c>
      <c r="T36" s="222">
        <f t="shared" si="12"/>
        <v>1706.4119999999998</v>
      </c>
    </row>
    <row r="37" spans="17:20" ht="12.75">
      <c r="Q37" s="216">
        <v>1998</v>
      </c>
      <c r="R37" s="222">
        <f t="shared" si="10"/>
        <v>4020.8509999999997</v>
      </c>
      <c r="S37" s="222">
        <f t="shared" si="11"/>
        <v>2022.9019999999998</v>
      </c>
      <c r="T37" s="222">
        <f t="shared" si="12"/>
        <v>1997.649</v>
      </c>
    </row>
    <row r="38" spans="17:20" ht="12.75">
      <c r="Q38" s="216">
        <v>1999</v>
      </c>
      <c r="R38" s="222">
        <f t="shared" si="10"/>
        <v>4317.928999999999</v>
      </c>
      <c r="S38" s="222">
        <f t="shared" si="11"/>
        <v>2242.625</v>
      </c>
      <c r="T38" s="222">
        <f t="shared" si="12"/>
        <v>2074.604</v>
      </c>
    </row>
    <row r="39" spans="17:20" ht="12.75">
      <c r="Q39" s="216">
        <v>2000</v>
      </c>
      <c r="R39" s="222">
        <f t="shared" si="10"/>
        <v>4775.935</v>
      </c>
      <c r="S39" s="222">
        <f t="shared" si="11"/>
        <v>2575.9240000000004</v>
      </c>
      <c r="T39" s="222">
        <f t="shared" si="12"/>
        <v>2199.311</v>
      </c>
    </row>
    <row r="40" spans="17:20" ht="12.75">
      <c r="Q40" s="216">
        <v>2001</v>
      </c>
      <c r="R40" s="222">
        <f t="shared" si="10"/>
        <v>4642.063999999999</v>
      </c>
      <c r="S40" s="222">
        <f t="shared" si="11"/>
        <v>2674.8349999999996</v>
      </c>
      <c r="T40" s="222">
        <f t="shared" si="12"/>
        <v>1966.529</v>
      </c>
    </row>
    <row r="41" spans="17:20" ht="12.75">
      <c r="Q41" s="250">
        <v>2002</v>
      </c>
      <c r="R41" s="222">
        <f t="shared" si="10"/>
        <v>4657.826999999999</v>
      </c>
      <c r="S41" s="222">
        <f t="shared" si="11"/>
        <v>2702.863</v>
      </c>
      <c r="T41" s="222">
        <f t="shared" si="12"/>
        <v>1954.264</v>
      </c>
    </row>
    <row r="42" spans="17:20" ht="12.75">
      <c r="Q42" s="216">
        <v>2003</v>
      </c>
      <c r="R42" s="222">
        <f t="shared" si="10"/>
        <v>4686.394</v>
      </c>
      <c r="S42" s="222">
        <f t="shared" si="11"/>
        <v>2720.2290000000003</v>
      </c>
      <c r="T42" s="222">
        <f t="shared" si="12"/>
        <v>1965.465</v>
      </c>
    </row>
    <row r="43" spans="17:20" ht="12.75">
      <c r="Q43" s="216">
        <v>2004</v>
      </c>
      <c r="R43" s="222">
        <f t="shared" si="10"/>
        <v>4657.315070000001</v>
      </c>
      <c r="S43" s="222">
        <f t="shared" si="11"/>
        <v>2747.272070000001</v>
      </c>
      <c r="T43" s="222">
        <f t="shared" si="12"/>
        <v>1909.343</v>
      </c>
    </row>
    <row r="44" spans="17:20" ht="12.75">
      <c r="Q44" s="216">
        <v>2005</v>
      </c>
      <c r="R44" s="222">
        <f t="shared" si="10"/>
        <v>4798.663</v>
      </c>
      <c r="S44" s="222">
        <f t="shared" si="11"/>
        <v>2918.773</v>
      </c>
      <c r="T44" s="222">
        <f t="shared" si="12"/>
        <v>1879.1899999999998</v>
      </c>
    </row>
    <row r="45" spans="17:20" ht="12.75">
      <c r="Q45" s="216">
        <v>2006</v>
      </c>
      <c r="R45" s="222">
        <f t="shared" si="10"/>
        <v>5064.362</v>
      </c>
      <c r="S45" s="222">
        <f t="shared" si="11"/>
        <v>2926.618</v>
      </c>
      <c r="T45" s="222">
        <f t="shared" si="12"/>
        <v>2137.0440000000003</v>
      </c>
    </row>
    <row r="46" spans="17:20" ht="12.75">
      <c r="Q46" s="250">
        <v>2007</v>
      </c>
      <c r="R46" s="222">
        <f t="shared" si="10"/>
        <v>5532.854999999999</v>
      </c>
      <c r="S46" s="222">
        <f t="shared" si="11"/>
        <v>2939.586999999998</v>
      </c>
      <c r="T46" s="222">
        <f t="shared" si="12"/>
        <v>2592.5680000000007</v>
      </c>
    </row>
    <row r="47" spans="17:20" ht="12.75">
      <c r="Q47" s="216">
        <v>2008</v>
      </c>
      <c r="R47" s="222">
        <f t="shared" si="10"/>
        <v>5444.215999999999</v>
      </c>
      <c r="S47" s="222">
        <f t="shared" si="11"/>
        <v>2953.1210000000005</v>
      </c>
      <c r="T47" s="222">
        <f t="shared" si="12"/>
        <v>2490.3949999999995</v>
      </c>
    </row>
    <row r="48" spans="17:20" ht="12.75">
      <c r="Q48" s="216">
        <v>2009</v>
      </c>
      <c r="R48" s="222">
        <f t="shared" si="10"/>
        <v>6246.409000000001</v>
      </c>
      <c r="S48" s="222">
        <f t="shared" si="11"/>
        <v>3037.1620000000003</v>
      </c>
      <c r="T48" s="222">
        <f t="shared" si="12"/>
        <v>3208.547</v>
      </c>
    </row>
    <row r="49" spans="17:20" ht="12.75">
      <c r="Q49" s="216">
        <v>2010</v>
      </c>
      <c r="R49" s="222">
        <f t="shared" si="10"/>
        <v>6875.038000000001</v>
      </c>
      <c r="S49" s="216">
        <f t="shared" si="11"/>
        <v>3237.361000000001</v>
      </c>
      <c r="T49" s="216">
        <f t="shared" si="12"/>
        <v>3636.9770000000008</v>
      </c>
    </row>
    <row r="50" spans="17:20" ht="12.75">
      <c r="Q50" s="216">
        <v>2011</v>
      </c>
      <c r="R50" s="222">
        <f t="shared" si="10"/>
        <v>6867.821000000001</v>
      </c>
      <c r="S50" s="216">
        <f t="shared" si="11"/>
        <v>3246.6250000000005</v>
      </c>
      <c r="T50" s="216">
        <f t="shared" si="12"/>
        <v>3620.4960000000005</v>
      </c>
    </row>
    <row r="51" spans="17:21" ht="12.75">
      <c r="Q51" s="216">
        <v>2012</v>
      </c>
      <c r="R51" s="222">
        <f aca="true" t="shared" si="13" ref="R51:T52">H25</f>
        <v>7754.905</v>
      </c>
      <c r="S51" s="216">
        <f t="shared" si="13"/>
        <v>3270.5969999999998</v>
      </c>
      <c r="T51" s="216">
        <f t="shared" si="13"/>
        <v>4403.608</v>
      </c>
      <c r="U51" s="216">
        <v>80</v>
      </c>
    </row>
    <row r="52" spans="17:21" ht="12.75">
      <c r="Q52" s="216">
        <v>2013</v>
      </c>
      <c r="R52" s="222">
        <f t="shared" si="13"/>
        <v>8680.421000000002</v>
      </c>
      <c r="S52" s="216">
        <f t="shared" si="13"/>
        <v>3337.035999999999</v>
      </c>
      <c r="T52" s="216">
        <f t="shared" si="13"/>
        <v>5262.685000000003</v>
      </c>
      <c r="U52" s="216">
        <f>K26</f>
        <v>80</v>
      </c>
    </row>
    <row r="57" ht="12.75">
      <c r="R57" s="216" t="s">
        <v>47</v>
      </c>
    </row>
    <row r="58" spans="18:20" ht="12.75">
      <c r="R58" s="216" t="s">
        <v>0</v>
      </c>
      <c r="S58" s="216" t="s">
        <v>4</v>
      </c>
      <c r="T58" s="216" t="s">
        <v>5</v>
      </c>
    </row>
    <row r="59" spans="17:20" ht="12.75">
      <c r="Q59" s="216">
        <v>1995</v>
      </c>
      <c r="R59" s="222">
        <f aca="true" t="shared" si="14" ref="R59:R75">M8</f>
        <v>880.016</v>
      </c>
      <c r="S59" s="222">
        <f aca="true" t="shared" si="15" ref="S59:S75">N8</f>
        <v>268.97</v>
      </c>
      <c r="T59" s="222">
        <f aca="true" t="shared" si="16" ref="T59:T75">O8</f>
        <v>611.0459999999999</v>
      </c>
    </row>
    <row r="60" spans="17:20" ht="12.75">
      <c r="Q60" s="216">
        <v>1996</v>
      </c>
      <c r="R60" s="222">
        <f t="shared" si="14"/>
        <v>1123.7</v>
      </c>
      <c r="S60" s="222">
        <f t="shared" si="15"/>
        <v>277.026</v>
      </c>
      <c r="T60" s="222">
        <f t="shared" si="16"/>
        <v>846.6740000000001</v>
      </c>
    </row>
    <row r="61" spans="17:20" ht="12.75">
      <c r="Q61" s="216">
        <v>1997</v>
      </c>
      <c r="R61" s="222">
        <f t="shared" si="14"/>
        <v>754.1859999999999</v>
      </c>
      <c r="S61" s="222">
        <f t="shared" si="15"/>
        <v>90.733</v>
      </c>
      <c r="T61" s="222">
        <f t="shared" si="16"/>
        <v>663.453</v>
      </c>
    </row>
    <row r="62" spans="17:20" ht="12.75">
      <c r="Q62" s="216">
        <v>1998</v>
      </c>
      <c r="R62" s="222">
        <f t="shared" si="14"/>
        <v>760.8299999999999</v>
      </c>
      <c r="S62" s="222">
        <f t="shared" si="15"/>
        <v>93.96700000000001</v>
      </c>
      <c r="T62" s="222">
        <f t="shared" si="16"/>
        <v>666.8629999999999</v>
      </c>
    </row>
    <row r="63" spans="17:20" ht="12.75">
      <c r="Q63" s="216">
        <v>1999</v>
      </c>
      <c r="R63" s="222">
        <f t="shared" si="14"/>
        <v>798.227</v>
      </c>
      <c r="S63" s="222">
        <f t="shared" si="15"/>
        <v>75.48299999999999</v>
      </c>
      <c r="T63" s="222">
        <f t="shared" si="16"/>
        <v>722.744</v>
      </c>
    </row>
    <row r="64" spans="17:20" ht="12.75">
      <c r="Q64" s="216">
        <v>2000</v>
      </c>
      <c r="R64" s="222">
        <f t="shared" si="14"/>
        <v>778.9110000000001</v>
      </c>
      <c r="S64" s="222">
        <f t="shared" si="15"/>
        <v>74.971</v>
      </c>
      <c r="T64" s="222">
        <f t="shared" si="16"/>
        <v>703.94</v>
      </c>
    </row>
    <row r="65" spans="17:20" ht="12.75">
      <c r="Q65" s="216">
        <v>2001</v>
      </c>
      <c r="R65" s="222">
        <f t="shared" si="14"/>
        <v>745.1130000000002</v>
      </c>
      <c r="S65" s="222">
        <f t="shared" si="15"/>
        <v>69.66799999999999</v>
      </c>
      <c r="T65" s="222">
        <f t="shared" si="16"/>
        <v>675.4450000000002</v>
      </c>
    </row>
    <row r="66" spans="17:20" ht="12.75">
      <c r="Q66" s="250">
        <v>2002</v>
      </c>
      <c r="R66" s="222">
        <f t="shared" si="14"/>
        <v>737.8420000000006</v>
      </c>
      <c r="S66" s="222">
        <f t="shared" si="15"/>
        <v>72.419</v>
      </c>
      <c r="T66" s="222">
        <f t="shared" si="16"/>
        <v>665.4230000000006</v>
      </c>
    </row>
    <row r="67" spans="17:20" ht="12.75">
      <c r="Q67" s="216">
        <v>2003</v>
      </c>
      <c r="R67" s="222">
        <f t="shared" si="14"/>
        <v>735.4130000000004</v>
      </c>
      <c r="S67" s="222">
        <f t="shared" si="15"/>
        <v>70.04399999999998</v>
      </c>
      <c r="T67" s="222">
        <f t="shared" si="16"/>
        <v>665.3690000000004</v>
      </c>
    </row>
    <row r="68" spans="17:20" ht="12.75">
      <c r="Q68" s="216">
        <v>2004</v>
      </c>
      <c r="R68" s="222">
        <f t="shared" si="14"/>
        <v>760.6440000000003</v>
      </c>
      <c r="S68" s="222">
        <f t="shared" si="15"/>
        <v>67.732</v>
      </c>
      <c r="T68" s="222">
        <f t="shared" si="16"/>
        <v>692.9120000000004</v>
      </c>
    </row>
    <row r="69" spans="17:20" ht="12.75">
      <c r="Q69" s="216">
        <v>2005</v>
      </c>
      <c r="R69" s="222">
        <f t="shared" si="14"/>
        <v>812.2620000000004</v>
      </c>
      <c r="S69" s="222">
        <f t="shared" si="15"/>
        <v>70.43</v>
      </c>
      <c r="T69" s="222">
        <f t="shared" si="16"/>
        <v>741.8320000000003</v>
      </c>
    </row>
    <row r="70" spans="17:20" ht="12.75">
      <c r="Q70" s="216">
        <v>2006</v>
      </c>
      <c r="R70" s="222">
        <f t="shared" si="14"/>
        <v>809.038</v>
      </c>
      <c r="S70" s="222">
        <f t="shared" si="15"/>
        <v>69.356</v>
      </c>
      <c r="T70" s="222">
        <f t="shared" si="16"/>
        <v>739.682</v>
      </c>
    </row>
    <row r="71" spans="17:20" ht="12.75">
      <c r="Q71" s="250">
        <v>2007</v>
      </c>
      <c r="R71" s="222">
        <f t="shared" si="14"/>
        <v>819.1590000000001</v>
      </c>
      <c r="S71" s="222">
        <f t="shared" si="15"/>
        <v>73.71099999999998</v>
      </c>
      <c r="T71" s="222">
        <f t="shared" si="16"/>
        <v>745.4480000000001</v>
      </c>
    </row>
    <row r="72" spans="17:20" ht="12.75">
      <c r="Q72" s="216">
        <v>2008</v>
      </c>
      <c r="R72" s="222">
        <f t="shared" si="14"/>
        <v>904.728</v>
      </c>
      <c r="S72" s="222">
        <f t="shared" si="15"/>
        <v>74.78099999999998</v>
      </c>
      <c r="T72" s="222">
        <f t="shared" si="16"/>
        <v>829.947</v>
      </c>
    </row>
    <row r="73" spans="17:20" ht="12.75">
      <c r="Q73" s="216">
        <v>2009</v>
      </c>
      <c r="R73" s="222">
        <f t="shared" si="14"/>
        <v>1009.9380000000001</v>
      </c>
      <c r="S73" s="222">
        <f t="shared" si="15"/>
        <v>78.606</v>
      </c>
      <c r="T73" s="222">
        <f t="shared" si="16"/>
        <v>931.3320000000001</v>
      </c>
    </row>
    <row r="74" spans="17:20" ht="12.75">
      <c r="Q74" s="250">
        <v>2010</v>
      </c>
      <c r="R74" s="216">
        <f t="shared" si="14"/>
        <v>1125.3490000000004</v>
      </c>
      <c r="S74" s="216">
        <f t="shared" si="15"/>
        <v>80.084</v>
      </c>
      <c r="T74" s="216">
        <f t="shared" si="16"/>
        <v>1045.2650000000003</v>
      </c>
    </row>
    <row r="75" spans="17:20" ht="12.75">
      <c r="Q75" s="250">
        <v>2011</v>
      </c>
      <c r="R75" s="216">
        <f t="shared" si="14"/>
        <v>1177.6960000000001</v>
      </c>
      <c r="S75" s="216">
        <f t="shared" si="15"/>
        <v>81.989</v>
      </c>
      <c r="T75" s="216">
        <f t="shared" si="16"/>
        <v>1095.707</v>
      </c>
    </row>
    <row r="76" spans="17:20" ht="12.75">
      <c r="Q76" s="250">
        <v>2012</v>
      </c>
      <c r="R76" s="216">
        <f aca="true" t="shared" si="17" ref="R76:T77">M25</f>
        <v>1184.352</v>
      </c>
      <c r="S76" s="216">
        <f t="shared" si="17"/>
        <v>89.53900000000002</v>
      </c>
      <c r="T76" s="216">
        <f t="shared" si="17"/>
        <v>1094.813</v>
      </c>
    </row>
    <row r="77" spans="17:20" ht="12.75">
      <c r="Q77" s="250">
        <v>2013</v>
      </c>
      <c r="R77" s="216">
        <f t="shared" si="17"/>
        <v>1204.8509999999999</v>
      </c>
      <c r="S77" s="216">
        <f t="shared" si="17"/>
        <v>77.37199999999997</v>
      </c>
      <c r="T77" s="216">
        <f t="shared" si="17"/>
        <v>1127.4789999999998</v>
      </c>
    </row>
  </sheetData>
  <sheetProtection/>
  <mergeCells count="1">
    <mergeCell ref="B1:O1"/>
  </mergeCells>
  <printOptions horizontalCentered="1" verticalCentered="1"/>
  <pageMargins left="0.9055118110236221" right="0.5905511811023623" top="0.7874015748031497" bottom="0.7086614173228347" header="0" footer="0"/>
  <pageSetup fitToHeight="1" fitToWidth="1" horizontalDpi="600" verticalDpi="600" orientation="portrait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0"/>
  <sheetViews>
    <sheetView view="pageBreakPreview" zoomScale="115" zoomScaleNormal="115" zoomScaleSheetLayoutView="115" workbookViewId="0" topLeftCell="A10">
      <selection activeCell="J39" sqref="J39"/>
    </sheetView>
  </sheetViews>
  <sheetFormatPr defaultColWidth="11.421875" defaultRowHeight="12.75"/>
  <cols>
    <col min="1" max="1" width="11.7109375" style="0" customWidth="1"/>
    <col min="12" max="12" width="9.8515625" style="0" customWidth="1"/>
  </cols>
  <sheetData>
    <row r="2" spans="1:12" ht="15.75">
      <c r="A2" s="1056" t="s">
        <v>48</v>
      </c>
      <c r="B2" s="1056"/>
      <c r="C2" s="1056"/>
      <c r="D2" s="1056"/>
      <c r="E2" s="1056"/>
      <c r="F2" s="1056"/>
      <c r="G2" s="1056"/>
      <c r="H2" s="1056"/>
      <c r="I2" s="1056"/>
      <c r="J2" s="1056"/>
      <c r="K2" s="1056"/>
      <c r="L2" s="1056"/>
    </row>
    <row r="4" ht="13.5" thickBot="1">
      <c r="N4" t="s">
        <v>262</v>
      </c>
    </row>
    <row r="5" spans="1:15" ht="12.75">
      <c r="A5" s="982"/>
      <c r="B5" s="1057" t="s">
        <v>34</v>
      </c>
      <c r="C5" s="1058"/>
      <c r="D5" s="1058"/>
      <c r="E5" s="1058"/>
      <c r="F5" s="1058"/>
      <c r="G5" s="1058"/>
      <c r="H5" s="1058"/>
      <c r="I5" s="1058"/>
      <c r="J5" s="1058"/>
      <c r="K5" s="1058"/>
      <c r="L5" s="1059"/>
      <c r="N5" t="s">
        <v>263</v>
      </c>
      <c r="O5">
        <v>0.7</v>
      </c>
    </row>
    <row r="6" spans="1:12" ht="12.75">
      <c r="A6" s="983" t="s">
        <v>18</v>
      </c>
      <c r="B6" s="984" t="s">
        <v>14</v>
      </c>
      <c r="C6" s="984"/>
      <c r="D6" s="985"/>
      <c r="E6" s="985"/>
      <c r="F6" s="986" t="s">
        <v>15</v>
      </c>
      <c r="G6" s="984"/>
      <c r="H6" s="987"/>
      <c r="I6" s="988" t="s">
        <v>33</v>
      </c>
      <c r="J6" s="984"/>
      <c r="K6" s="985"/>
      <c r="L6" s="987"/>
    </row>
    <row r="7" spans="1:12" ht="12.75">
      <c r="A7" s="989"/>
      <c r="B7" s="990" t="s">
        <v>4</v>
      </c>
      <c r="C7" s="990" t="s">
        <v>5</v>
      </c>
      <c r="D7" s="991" t="s">
        <v>61</v>
      </c>
      <c r="E7" s="991" t="s">
        <v>0</v>
      </c>
      <c r="F7" s="992" t="s">
        <v>4</v>
      </c>
      <c r="G7" s="990" t="s">
        <v>5</v>
      </c>
      <c r="H7" s="993" t="s">
        <v>0</v>
      </c>
      <c r="I7" s="994" t="s">
        <v>4</v>
      </c>
      <c r="J7" s="990" t="s">
        <v>5</v>
      </c>
      <c r="K7" s="991" t="s">
        <v>61</v>
      </c>
      <c r="L7" s="993" t="s">
        <v>0</v>
      </c>
    </row>
    <row r="8" spans="1:13" ht="12.75">
      <c r="A8" s="53">
        <v>1960</v>
      </c>
      <c r="B8" s="166">
        <v>221.8</v>
      </c>
      <c r="C8" s="167">
        <v>126.6</v>
      </c>
      <c r="D8" s="980"/>
      <c r="E8" s="168">
        <f aca="true" t="shared" si="0" ref="E8:E16">SUM(B8:D8)</f>
        <v>348.4</v>
      </c>
      <c r="F8" s="169">
        <v>193.7</v>
      </c>
      <c r="G8" s="166">
        <v>236.6</v>
      </c>
      <c r="H8" s="170">
        <f aca="true" t="shared" si="1" ref="H8:H16">SUM(F8:G8)</f>
        <v>430.29999999999995</v>
      </c>
      <c r="I8" s="171">
        <f aca="true" t="shared" si="2" ref="I8:I16">SUM(B8,F8)</f>
        <v>415.5</v>
      </c>
      <c r="J8" s="166">
        <f aca="true" t="shared" si="3" ref="J8:J16">SUM(C8,G8)</f>
        <v>363.2</v>
      </c>
      <c r="K8" s="168"/>
      <c r="L8" s="170">
        <f>SUM(I8:K8)</f>
        <v>778.7</v>
      </c>
      <c r="M8" s="6"/>
    </row>
    <row r="9" spans="1:13" ht="12.75">
      <c r="A9" s="53">
        <v>1970</v>
      </c>
      <c r="B9" s="166">
        <v>681.1</v>
      </c>
      <c r="C9" s="167">
        <v>181.5</v>
      </c>
      <c r="D9" s="980"/>
      <c r="E9" s="168">
        <f t="shared" si="0"/>
        <v>862.6</v>
      </c>
      <c r="F9" s="169">
        <v>241.5</v>
      </c>
      <c r="G9" s="166">
        <v>573</v>
      </c>
      <c r="H9" s="170">
        <f t="shared" si="1"/>
        <v>814.5</v>
      </c>
      <c r="I9" s="171">
        <f t="shared" si="2"/>
        <v>922.6</v>
      </c>
      <c r="J9" s="166">
        <f t="shared" si="3"/>
        <v>754.5</v>
      </c>
      <c r="K9" s="168"/>
      <c r="L9" s="170">
        <f>SUM(I9:K9)</f>
        <v>1677.1</v>
      </c>
      <c r="M9" s="6"/>
    </row>
    <row r="10" spans="1:13" ht="12.75">
      <c r="A10" s="53">
        <v>1980</v>
      </c>
      <c r="B10" s="166">
        <v>1613.1</v>
      </c>
      <c r="C10" s="167">
        <v>410.1</v>
      </c>
      <c r="D10" s="980"/>
      <c r="E10" s="168">
        <f t="shared" si="0"/>
        <v>2023.1999999999998</v>
      </c>
      <c r="F10" s="169">
        <v>254.5</v>
      </c>
      <c r="G10" s="166">
        <v>862.5</v>
      </c>
      <c r="H10" s="170">
        <f t="shared" si="1"/>
        <v>1117</v>
      </c>
      <c r="I10" s="171">
        <f t="shared" si="2"/>
        <v>1867.6</v>
      </c>
      <c r="J10" s="166">
        <f t="shared" si="3"/>
        <v>1272.6</v>
      </c>
      <c r="K10" s="168"/>
      <c r="L10" s="170">
        <f>SUM(I10:K10)</f>
        <v>3140.2</v>
      </c>
      <c r="M10" s="6"/>
    </row>
    <row r="11" spans="1:13" ht="12.75">
      <c r="A11" s="53">
        <v>1990</v>
      </c>
      <c r="B11" s="166">
        <v>2119</v>
      </c>
      <c r="C11" s="167">
        <v>722.8</v>
      </c>
      <c r="D11" s="980"/>
      <c r="E11" s="168">
        <f t="shared" si="0"/>
        <v>2841.8</v>
      </c>
      <c r="F11" s="169">
        <v>280.8</v>
      </c>
      <c r="G11" s="166">
        <v>1020.8</v>
      </c>
      <c r="H11" s="170">
        <f t="shared" si="1"/>
        <v>1301.6</v>
      </c>
      <c r="I11" s="171">
        <f t="shared" si="2"/>
        <v>2399.8</v>
      </c>
      <c r="J11" s="166">
        <f t="shared" si="3"/>
        <v>1743.6</v>
      </c>
      <c r="K11" s="168"/>
      <c r="L11" s="170">
        <f>SUM(I11:K11)</f>
        <v>4143.4</v>
      </c>
      <c r="M11" s="6"/>
    </row>
    <row r="12" spans="1:13" ht="12.75">
      <c r="A12" s="53">
        <v>2000</v>
      </c>
      <c r="B12" s="166">
        <v>2779.26</v>
      </c>
      <c r="C12" s="167">
        <v>2368.891</v>
      </c>
      <c r="D12" s="980"/>
      <c r="E12" s="168">
        <f t="shared" si="0"/>
        <v>5148.151</v>
      </c>
      <c r="F12" s="169">
        <v>77.565</v>
      </c>
      <c r="G12" s="166">
        <v>839.773</v>
      </c>
      <c r="H12" s="170">
        <f t="shared" si="1"/>
        <v>917.338</v>
      </c>
      <c r="I12" s="171">
        <f t="shared" si="2"/>
        <v>2856.8250000000003</v>
      </c>
      <c r="J12" s="166">
        <f t="shared" si="3"/>
        <v>3208.664</v>
      </c>
      <c r="K12" s="168"/>
      <c r="L12" s="170">
        <f>SUM(I12:K12)+$O$5</f>
        <v>6066.189</v>
      </c>
      <c r="M12" s="6"/>
    </row>
    <row r="13" spans="1:13" ht="12.75">
      <c r="A13" s="53">
        <v>2010</v>
      </c>
      <c r="B13" s="166">
        <v>3344.7949999999996</v>
      </c>
      <c r="C13" s="167">
        <v>3963.6709999999966</v>
      </c>
      <c r="D13" s="980"/>
      <c r="E13" s="168">
        <f t="shared" si="0"/>
        <v>7308.465999999997</v>
      </c>
      <c r="F13" s="169">
        <v>92.80699999999997</v>
      </c>
      <c r="G13" s="166">
        <v>1210.5840000000007</v>
      </c>
      <c r="H13" s="170">
        <f t="shared" si="1"/>
        <v>1303.3910000000008</v>
      </c>
      <c r="I13" s="171">
        <f t="shared" si="2"/>
        <v>3437.6019999999994</v>
      </c>
      <c r="J13" s="166">
        <f t="shared" si="3"/>
        <v>5174.254999999997</v>
      </c>
      <c r="K13" s="168"/>
      <c r="L13" s="170">
        <f>SUM(I13:K13)+$O$5</f>
        <v>8612.556999999997</v>
      </c>
      <c r="M13" s="6"/>
    </row>
    <row r="14" spans="1:13" ht="12.75">
      <c r="A14" s="53">
        <v>2011</v>
      </c>
      <c r="B14" s="166">
        <v>3357.0599999999986</v>
      </c>
      <c r="C14" s="167">
        <v>3956.4770000000008</v>
      </c>
      <c r="D14" s="980"/>
      <c r="E14" s="168">
        <f t="shared" si="0"/>
        <v>7313.536999999999</v>
      </c>
      <c r="F14" s="169">
        <v>93.893</v>
      </c>
      <c r="G14" s="166">
        <v>1283.1969999999997</v>
      </c>
      <c r="H14" s="170">
        <f t="shared" si="1"/>
        <v>1377.0899999999997</v>
      </c>
      <c r="I14" s="171">
        <f t="shared" si="2"/>
        <v>3450.9529999999986</v>
      </c>
      <c r="J14" s="166">
        <f t="shared" si="3"/>
        <v>5239.674000000001</v>
      </c>
      <c r="K14" s="168"/>
      <c r="L14" s="170">
        <f>SUM(I14:K14)+$O$5</f>
        <v>8691.327000000001</v>
      </c>
      <c r="M14" s="6"/>
    </row>
    <row r="15" spans="1:13" ht="12.75">
      <c r="A15" s="53">
        <v>2012</v>
      </c>
      <c r="B15" s="166">
        <v>3380.829999999999</v>
      </c>
      <c r="C15" s="167">
        <v>4805.640999999999</v>
      </c>
      <c r="D15" s="980">
        <v>80</v>
      </c>
      <c r="E15" s="168">
        <f t="shared" si="0"/>
        <v>8266.470999999998</v>
      </c>
      <c r="F15" s="169">
        <v>103.14399999999998</v>
      </c>
      <c r="G15" s="166">
        <v>1328.7820000000006</v>
      </c>
      <c r="H15" s="170">
        <f t="shared" si="1"/>
        <v>1431.9260000000006</v>
      </c>
      <c r="I15" s="171">
        <f t="shared" si="2"/>
        <v>3483.973999999999</v>
      </c>
      <c r="J15" s="166">
        <f t="shared" si="3"/>
        <v>6134.422999999999</v>
      </c>
      <c r="K15" s="168">
        <f>SUM(D15)</f>
        <v>80</v>
      </c>
      <c r="L15" s="170">
        <f>SUM(I15:K15)+$O$5</f>
        <v>9699.096999999998</v>
      </c>
      <c r="M15" s="6"/>
    </row>
    <row r="16" spans="1:13" ht="13.5" thickBot="1">
      <c r="A16" s="54">
        <v>2013</v>
      </c>
      <c r="B16" s="172">
        <v>3450.5469999999996</v>
      </c>
      <c r="C16" s="173">
        <v>6103.384000000003</v>
      </c>
      <c r="D16" s="981">
        <v>80</v>
      </c>
      <c r="E16" s="174">
        <f t="shared" si="0"/>
        <v>9633.931000000002</v>
      </c>
      <c r="F16" s="175">
        <v>105.635</v>
      </c>
      <c r="G16" s="172">
        <v>1310.4529999999997</v>
      </c>
      <c r="H16" s="176">
        <f t="shared" si="1"/>
        <v>1416.0879999999997</v>
      </c>
      <c r="I16" s="177">
        <f t="shared" si="2"/>
        <v>3556.182</v>
      </c>
      <c r="J16" s="172">
        <f t="shared" si="3"/>
        <v>7413.837000000002</v>
      </c>
      <c r="K16" s="174">
        <f>SUM(D16)</f>
        <v>80</v>
      </c>
      <c r="L16" s="176">
        <f>SUM(I16:K16)+$O$5</f>
        <v>11050.719000000003</v>
      </c>
      <c r="M16" s="6"/>
    </row>
    <row r="17" spans="1:13" ht="12.75">
      <c r="A17" s="6"/>
      <c r="B17" s="45"/>
      <c r="C17" s="45"/>
      <c r="D17" s="45"/>
      <c r="E17" s="23"/>
      <c r="F17" s="184"/>
      <c r="G17" s="45"/>
      <c r="H17" s="6"/>
      <c r="I17" s="6"/>
      <c r="J17" s="6"/>
      <c r="K17" s="6"/>
      <c r="M17" s="6"/>
    </row>
    <row r="18" ht="13.5" thickBot="1">
      <c r="M18" s="6"/>
    </row>
    <row r="19" spans="1:12" ht="12.75">
      <c r="A19" s="982"/>
      <c r="B19" s="1057" t="s">
        <v>35</v>
      </c>
      <c r="C19" s="1058"/>
      <c r="D19" s="1058"/>
      <c r="E19" s="1058"/>
      <c r="F19" s="1058"/>
      <c r="G19" s="1058"/>
      <c r="H19" s="1058"/>
      <c r="I19" s="1058"/>
      <c r="J19" s="1058"/>
      <c r="K19" s="1058"/>
      <c r="L19" s="1059"/>
    </row>
    <row r="20" spans="1:12" ht="12.75">
      <c r="A20" s="983" t="s">
        <v>29</v>
      </c>
      <c r="B20" s="984" t="s">
        <v>14</v>
      </c>
      <c r="C20" s="984"/>
      <c r="D20" s="985"/>
      <c r="E20" s="985"/>
      <c r="F20" s="986" t="s">
        <v>15</v>
      </c>
      <c r="G20" s="984"/>
      <c r="H20" s="987"/>
      <c r="I20" s="988" t="s">
        <v>33</v>
      </c>
      <c r="J20" s="984"/>
      <c r="K20" s="985"/>
      <c r="L20" s="987"/>
    </row>
    <row r="21" spans="1:12" ht="12.75">
      <c r="A21" s="995"/>
      <c r="B21" s="990" t="s">
        <v>4</v>
      </c>
      <c r="C21" s="990" t="s">
        <v>5</v>
      </c>
      <c r="D21" s="991" t="s">
        <v>61</v>
      </c>
      <c r="E21" s="996" t="s">
        <v>0</v>
      </c>
      <c r="F21" s="992" t="s">
        <v>4</v>
      </c>
      <c r="G21" s="990" t="s">
        <v>5</v>
      </c>
      <c r="H21" s="997" t="s">
        <v>0</v>
      </c>
      <c r="I21" s="994" t="s">
        <v>4</v>
      </c>
      <c r="J21" s="990" t="s">
        <v>5</v>
      </c>
      <c r="K21" s="991" t="s">
        <v>61</v>
      </c>
      <c r="L21" s="997" t="s">
        <v>0</v>
      </c>
    </row>
    <row r="22" spans="1:13" ht="12.75">
      <c r="A22" s="202" t="s">
        <v>265</v>
      </c>
      <c r="B22" s="52">
        <f>((B16/B8)-1)*100</f>
        <v>1455.701983769161</v>
      </c>
      <c r="C22" s="52">
        <f aca="true" t="shared" si="4" ref="C22:L22">((C16/C8)-1)*100</f>
        <v>4720.998420221172</v>
      </c>
      <c r="D22" s="52"/>
      <c r="E22" s="52">
        <f t="shared" si="4"/>
        <v>2665.1925947187146</v>
      </c>
      <c r="F22" s="52">
        <f t="shared" si="4"/>
        <v>-45.46463603510583</v>
      </c>
      <c r="G22" s="52">
        <f t="shared" si="4"/>
        <v>453.8685545224006</v>
      </c>
      <c r="H22" s="52">
        <f t="shared" si="4"/>
        <v>229.09319079711827</v>
      </c>
      <c r="I22" s="52">
        <f t="shared" si="4"/>
        <v>755.880144404332</v>
      </c>
      <c r="J22" s="52">
        <f t="shared" si="4"/>
        <v>1941.2546806167409</v>
      </c>
      <c r="K22" s="52"/>
      <c r="L22" s="52">
        <f t="shared" si="4"/>
        <v>1319.1240529086942</v>
      </c>
      <c r="M22" s="6"/>
    </row>
    <row r="23" spans="1:13" ht="12.75">
      <c r="A23" s="55" t="s">
        <v>30</v>
      </c>
      <c r="B23" s="42">
        <f>((B9/B8)-1)*100</f>
        <v>207.07844905320107</v>
      </c>
      <c r="C23" s="42">
        <f aca="true" t="shared" si="5" ref="C23:L23">((C9/C8)-1)*100</f>
        <v>43.3649289099526</v>
      </c>
      <c r="D23" s="42"/>
      <c r="E23" s="42">
        <f t="shared" si="5"/>
        <v>147.58897818599314</v>
      </c>
      <c r="F23" s="42">
        <f t="shared" si="5"/>
        <v>24.677336086732062</v>
      </c>
      <c r="G23" s="42">
        <f t="shared" si="5"/>
        <v>142.18089602704987</v>
      </c>
      <c r="H23" s="42">
        <f t="shared" si="5"/>
        <v>89.28654427143856</v>
      </c>
      <c r="I23" s="42">
        <f t="shared" si="5"/>
        <v>122.04572803850783</v>
      </c>
      <c r="J23" s="42">
        <f t="shared" si="5"/>
        <v>107.73678414096919</v>
      </c>
      <c r="K23" s="42"/>
      <c r="L23" s="42">
        <f t="shared" si="5"/>
        <v>115.3717734686015</v>
      </c>
      <c r="M23" s="6"/>
    </row>
    <row r="24" spans="1:13" ht="12.75">
      <c r="A24" s="55" t="s">
        <v>31</v>
      </c>
      <c r="B24" s="42">
        <f>((B10/B9)-1)*100</f>
        <v>136.8374688004698</v>
      </c>
      <c r="C24" s="42">
        <f aca="true" t="shared" si="6" ref="C24:L24">((C10/C9)-1)*100</f>
        <v>125.95041322314052</v>
      </c>
      <c r="D24" s="42"/>
      <c r="E24" s="42">
        <f t="shared" si="6"/>
        <v>134.54671922095986</v>
      </c>
      <c r="F24" s="42">
        <f t="shared" si="6"/>
        <v>5.3830227743271175</v>
      </c>
      <c r="G24" s="42">
        <f t="shared" si="6"/>
        <v>50.523560209424076</v>
      </c>
      <c r="H24" s="42">
        <f t="shared" si="6"/>
        <v>37.13934929404543</v>
      </c>
      <c r="I24" s="42">
        <f t="shared" si="6"/>
        <v>102.42792109256449</v>
      </c>
      <c r="J24" s="42">
        <f t="shared" si="6"/>
        <v>68.6679920477137</v>
      </c>
      <c r="K24" s="42"/>
      <c r="L24" s="42">
        <f t="shared" si="6"/>
        <v>87.23987836145727</v>
      </c>
      <c r="M24" s="6"/>
    </row>
    <row r="25" spans="1:13" ht="12.75">
      <c r="A25" s="55" t="s">
        <v>32</v>
      </c>
      <c r="B25" s="42">
        <f>((B11/B10)-1)*100</f>
        <v>31.361973839191638</v>
      </c>
      <c r="C25" s="42">
        <f aca="true" t="shared" si="7" ref="C25:L25">((C11/C10)-1)*100</f>
        <v>76.24969519629357</v>
      </c>
      <c r="D25" s="42"/>
      <c r="E25" s="42">
        <f t="shared" si="7"/>
        <v>40.46065638592331</v>
      </c>
      <c r="F25" s="42">
        <f t="shared" si="7"/>
        <v>10.333988212180746</v>
      </c>
      <c r="G25" s="42">
        <f t="shared" si="7"/>
        <v>18.353623188405788</v>
      </c>
      <c r="H25" s="42">
        <f t="shared" si="7"/>
        <v>16.52641002685764</v>
      </c>
      <c r="I25" s="42">
        <f t="shared" si="7"/>
        <v>28.496466052687964</v>
      </c>
      <c r="J25" s="42">
        <f t="shared" si="7"/>
        <v>37.01084394153702</v>
      </c>
      <c r="K25" s="42"/>
      <c r="L25" s="42">
        <f t="shared" si="7"/>
        <v>31.94700974460225</v>
      </c>
      <c r="M25" s="6"/>
    </row>
    <row r="26" spans="1:13" ht="12.75">
      <c r="A26" s="55" t="s">
        <v>37</v>
      </c>
      <c r="B26" s="42">
        <f>((B12/B11)-1)*100</f>
        <v>31.15903728173668</v>
      </c>
      <c r="C26" s="42">
        <f aca="true" t="shared" si="8" ref="C26:L26">((C12/C11)-1)*100</f>
        <v>227.73810182623134</v>
      </c>
      <c r="D26" s="42"/>
      <c r="E26" s="42">
        <f t="shared" si="8"/>
        <v>81.15810401857975</v>
      </c>
      <c r="F26" s="42">
        <f t="shared" si="8"/>
        <v>-72.37713675213675</v>
      </c>
      <c r="G26" s="42">
        <f t="shared" si="8"/>
        <v>-17.733836206896548</v>
      </c>
      <c r="H26" s="42">
        <f t="shared" si="8"/>
        <v>-29.522280270436386</v>
      </c>
      <c r="I26" s="42">
        <f t="shared" si="8"/>
        <v>19.044295357946496</v>
      </c>
      <c r="J26" s="42">
        <f t="shared" si="8"/>
        <v>84.02523514567564</v>
      </c>
      <c r="K26" s="42"/>
      <c r="L26" s="42">
        <f t="shared" si="8"/>
        <v>46.40606748081289</v>
      </c>
      <c r="M26" s="6"/>
    </row>
    <row r="27" spans="1:13" ht="12.75">
      <c r="A27" s="55" t="s">
        <v>57</v>
      </c>
      <c r="B27" s="42">
        <f>((B13/B12)-1)*100</f>
        <v>20.348402092643347</v>
      </c>
      <c r="C27" s="42">
        <f aca="true" t="shared" si="9" ref="C27:L27">((C13/C12)-1)*100</f>
        <v>67.32179741490836</v>
      </c>
      <c r="D27" s="42"/>
      <c r="E27" s="42">
        <f t="shared" si="9"/>
        <v>41.962929991758145</v>
      </c>
      <c r="F27" s="42">
        <f t="shared" si="9"/>
        <v>19.650615612711885</v>
      </c>
      <c r="G27" s="42">
        <f t="shared" si="9"/>
        <v>44.15609932684199</v>
      </c>
      <c r="H27" s="42">
        <f t="shared" si="9"/>
        <v>42.08405189799189</v>
      </c>
      <c r="I27" s="42">
        <f t="shared" si="9"/>
        <v>20.329456652052503</v>
      </c>
      <c r="J27" s="42">
        <f t="shared" si="9"/>
        <v>61.25886038550614</v>
      </c>
      <c r="K27" s="42"/>
      <c r="L27" s="42">
        <f t="shared" si="9"/>
        <v>41.97640396631223</v>
      </c>
      <c r="M27" s="6"/>
    </row>
    <row r="28" spans="1:13" ht="13.5" thickBot="1">
      <c r="A28" s="600" t="s">
        <v>264</v>
      </c>
      <c r="B28" s="43">
        <f>((B16/B13)-1)*100</f>
        <v>3.161688533975915</v>
      </c>
      <c r="C28" s="43">
        <f aca="true" t="shared" si="10" ref="C28:L28">((C16/C13)-1)*100</f>
        <v>53.98311312921804</v>
      </c>
      <c r="D28" s="43"/>
      <c r="E28" s="43">
        <f t="shared" si="10"/>
        <v>31.818783859704713</v>
      </c>
      <c r="F28" s="43">
        <f t="shared" si="10"/>
        <v>13.822233236717096</v>
      </c>
      <c r="G28" s="43">
        <f t="shared" si="10"/>
        <v>8.249654712105814</v>
      </c>
      <c r="H28" s="43">
        <f t="shared" si="10"/>
        <v>8.646446077961167</v>
      </c>
      <c r="I28" s="43">
        <f t="shared" si="10"/>
        <v>3.4494976439972014</v>
      </c>
      <c r="J28" s="43">
        <f t="shared" si="10"/>
        <v>43.28317796475061</v>
      </c>
      <c r="K28" s="43"/>
      <c r="L28" s="43">
        <f t="shared" si="10"/>
        <v>28.309385934978494</v>
      </c>
      <c r="M28" s="6"/>
    </row>
    <row r="30" ht="13.5" thickBot="1"/>
    <row r="31" spans="1:12" ht="12.75">
      <c r="A31" s="982"/>
      <c r="B31" s="1057" t="s">
        <v>36</v>
      </c>
      <c r="C31" s="1058"/>
      <c r="D31" s="1058"/>
      <c r="E31" s="1058"/>
      <c r="F31" s="1058"/>
      <c r="G31" s="1058"/>
      <c r="H31" s="1058"/>
      <c r="I31" s="1058"/>
      <c r="J31" s="1058"/>
      <c r="K31" s="1058"/>
      <c r="L31" s="1059"/>
    </row>
    <row r="32" spans="1:12" ht="12.75">
      <c r="A32" s="983" t="s">
        <v>29</v>
      </c>
      <c r="B32" s="984" t="s">
        <v>14</v>
      </c>
      <c r="C32" s="984"/>
      <c r="D32" s="985"/>
      <c r="E32" s="985"/>
      <c r="F32" s="986" t="s">
        <v>15</v>
      </c>
      <c r="G32" s="984"/>
      <c r="H32" s="987"/>
      <c r="I32" s="988" t="s">
        <v>33</v>
      </c>
      <c r="J32" s="984"/>
      <c r="K32" s="985"/>
      <c r="L32" s="987"/>
    </row>
    <row r="33" spans="1:12" ht="12.75">
      <c r="A33" s="989"/>
      <c r="B33" s="990" t="s">
        <v>4</v>
      </c>
      <c r="C33" s="990" t="s">
        <v>5</v>
      </c>
      <c r="D33" s="991"/>
      <c r="E33" s="991" t="s">
        <v>0</v>
      </c>
      <c r="F33" s="992" t="s">
        <v>4</v>
      </c>
      <c r="G33" s="990" t="s">
        <v>5</v>
      </c>
      <c r="H33" s="993" t="s">
        <v>0</v>
      </c>
      <c r="I33" s="994" t="s">
        <v>4</v>
      </c>
      <c r="J33" s="990" t="s">
        <v>5</v>
      </c>
      <c r="K33" s="991"/>
      <c r="L33" s="993" t="s">
        <v>0</v>
      </c>
    </row>
    <row r="34" spans="1:13" ht="12.75">
      <c r="A34" s="202" t="s">
        <v>265</v>
      </c>
      <c r="B34" s="52">
        <f>(((B16/B8)^(1/53))-1)*100</f>
        <v>5.314744256457837</v>
      </c>
      <c r="C34" s="52">
        <f>(((C16/C8)^(1/53))-1)*100</f>
        <v>7.586381683266219</v>
      </c>
      <c r="D34" s="52"/>
      <c r="E34" s="52">
        <f aca="true" t="shared" si="11" ref="E34:J34">(((E16/E8)^(1/53))-1)*100</f>
        <v>6.463898650557498</v>
      </c>
      <c r="F34" s="52">
        <f t="shared" si="11"/>
        <v>-1.1374827216413697</v>
      </c>
      <c r="G34" s="52">
        <f t="shared" si="11"/>
        <v>3.2824524365615115</v>
      </c>
      <c r="H34" s="52">
        <f t="shared" si="11"/>
        <v>2.27293841636389</v>
      </c>
      <c r="I34" s="52">
        <f t="shared" si="11"/>
        <v>4.134035089713439</v>
      </c>
      <c r="J34" s="52">
        <f t="shared" si="11"/>
        <v>5.855893286691383</v>
      </c>
      <c r="K34" s="52"/>
      <c r="L34" s="52">
        <f>(((L16/L8)^(1/53))-1)*100</f>
        <v>5.132316355478661</v>
      </c>
      <c r="M34" s="6"/>
    </row>
    <row r="35" spans="1:13" ht="12.75">
      <c r="A35" s="55" t="s">
        <v>30</v>
      </c>
      <c r="B35" s="42">
        <f>(((B9/B8)^(1/10))-1)*100</f>
        <v>11.87290971639332</v>
      </c>
      <c r="C35" s="42">
        <f aca="true" t="shared" si="12" ref="C35:L35">(((C9/C8)^(1/10))-1)*100</f>
        <v>3.6678979101702813</v>
      </c>
      <c r="D35" s="42"/>
      <c r="E35" s="42">
        <f t="shared" si="12"/>
        <v>9.489665949398884</v>
      </c>
      <c r="F35" s="42">
        <f t="shared" si="12"/>
        <v>2.230091954611302</v>
      </c>
      <c r="G35" s="42">
        <f t="shared" si="12"/>
        <v>9.248124032947613</v>
      </c>
      <c r="H35" s="42">
        <f t="shared" si="12"/>
        <v>6.588898516015185</v>
      </c>
      <c r="I35" s="42">
        <f t="shared" si="12"/>
        <v>8.303936523549037</v>
      </c>
      <c r="J35" s="42">
        <f t="shared" si="12"/>
        <v>7.584904930486114</v>
      </c>
      <c r="K35" s="42"/>
      <c r="L35" s="42">
        <f t="shared" si="12"/>
        <v>7.973922405892719</v>
      </c>
      <c r="M35" s="6"/>
    </row>
    <row r="36" spans="1:13" ht="12.75">
      <c r="A36" s="55" t="s">
        <v>31</v>
      </c>
      <c r="B36" s="42">
        <f>(((B10/B9)^(1/10))-1)*100</f>
        <v>9.004654092260411</v>
      </c>
      <c r="C36" s="42">
        <f aca="true" t="shared" si="13" ref="C36:L36">(((C10/C9)^(1/10))-1)*100</f>
        <v>8.492899002521902</v>
      </c>
      <c r="D36" s="42"/>
      <c r="E36" s="42">
        <f t="shared" si="13"/>
        <v>8.898760416146857</v>
      </c>
      <c r="F36" s="42">
        <f t="shared" si="13"/>
        <v>0.525690558311398</v>
      </c>
      <c r="G36" s="42">
        <f t="shared" si="13"/>
        <v>4.174265766629515</v>
      </c>
      <c r="H36" s="42">
        <f t="shared" si="13"/>
        <v>3.2086763931798545</v>
      </c>
      <c r="I36" s="42">
        <f t="shared" si="13"/>
        <v>7.306749977683613</v>
      </c>
      <c r="J36" s="42">
        <f t="shared" si="13"/>
        <v>5.366673061760552</v>
      </c>
      <c r="K36" s="42"/>
      <c r="L36" s="42">
        <f t="shared" si="13"/>
        <v>6.473084346631142</v>
      </c>
      <c r="M36" s="6"/>
    </row>
    <row r="37" spans="1:13" ht="12.75">
      <c r="A37" s="55" t="s">
        <v>32</v>
      </c>
      <c r="B37" s="42">
        <f>(((B11/B10)^(1/10))-1)*100</f>
        <v>2.7654117229987563</v>
      </c>
      <c r="C37" s="42">
        <f aca="true" t="shared" si="14" ref="C37:L37">(((C11/C10)^(1/10))-1)*100</f>
        <v>5.830984807177808</v>
      </c>
      <c r="D37" s="42"/>
      <c r="E37" s="42">
        <f t="shared" si="14"/>
        <v>3.455949123444091</v>
      </c>
      <c r="F37" s="42">
        <f t="shared" si="14"/>
        <v>0.9882698102846588</v>
      </c>
      <c r="G37" s="42">
        <f t="shared" si="14"/>
        <v>1.699344983130735</v>
      </c>
      <c r="H37" s="42">
        <f t="shared" si="14"/>
        <v>1.5412339370527661</v>
      </c>
      <c r="I37" s="42">
        <f t="shared" si="14"/>
        <v>2.539009599212516</v>
      </c>
      <c r="J37" s="42">
        <f t="shared" si="14"/>
        <v>3.1990012246224886</v>
      </c>
      <c r="K37" s="42"/>
      <c r="L37" s="42">
        <f t="shared" si="14"/>
        <v>2.811088033757758</v>
      </c>
      <c r="M37" s="6"/>
    </row>
    <row r="38" spans="1:13" ht="12.75">
      <c r="A38" s="55" t="s">
        <v>37</v>
      </c>
      <c r="B38" s="42">
        <f>(((B12/B11)^(1/10))-1)*100</f>
        <v>2.7495248034068</v>
      </c>
      <c r="C38" s="42">
        <f aca="true" t="shared" si="15" ref="C38:L38">(((C12/C11)^(1/10))-1)*100</f>
        <v>12.603708387038349</v>
      </c>
      <c r="D38" s="42"/>
      <c r="E38" s="42">
        <f t="shared" si="15"/>
        <v>6.122085639798791</v>
      </c>
      <c r="F38" s="42">
        <f t="shared" si="15"/>
        <v>-12.07206590570815</v>
      </c>
      <c r="G38" s="42">
        <f t="shared" si="15"/>
        <v>-1.933172802782268</v>
      </c>
      <c r="H38" s="42">
        <f t="shared" si="15"/>
        <v>-3.438237438846281</v>
      </c>
      <c r="I38" s="42">
        <f t="shared" si="15"/>
        <v>1.758538042131197</v>
      </c>
      <c r="J38" s="42">
        <f t="shared" si="15"/>
        <v>6.288857326716468</v>
      </c>
      <c r="K38" s="42"/>
      <c r="L38" s="42">
        <f t="shared" si="15"/>
        <v>3.885732787997953</v>
      </c>
      <c r="M38" s="6"/>
    </row>
    <row r="39" spans="1:13" ht="12.75">
      <c r="A39" s="180" t="s">
        <v>57</v>
      </c>
      <c r="B39" s="42">
        <f>(((B13/B12)^(1/10))-1)*100</f>
        <v>1.8694667612960458</v>
      </c>
      <c r="C39" s="42">
        <f>(((C13/C12)^(1/10))-1)*100</f>
        <v>5.282272883063643</v>
      </c>
      <c r="D39" s="42"/>
      <c r="E39" s="42">
        <f aca="true" t="shared" si="16" ref="E39:J39">(((E13/E12)^(1/10))-1)*100</f>
        <v>3.566069748522116</v>
      </c>
      <c r="F39" s="42">
        <f t="shared" si="16"/>
        <v>1.8102476241656174</v>
      </c>
      <c r="G39" s="42">
        <f t="shared" si="16"/>
        <v>3.7249662608955347</v>
      </c>
      <c r="H39" s="42">
        <f t="shared" si="16"/>
        <v>3.5749025517304744</v>
      </c>
      <c r="I39" s="42">
        <f t="shared" si="16"/>
        <v>1.867863002019976</v>
      </c>
      <c r="J39" s="42">
        <f t="shared" si="16"/>
        <v>4.894413407263998</v>
      </c>
      <c r="K39" s="42"/>
      <c r="L39" s="42">
        <f>(((L13/L12)^(1/10))-1)*100</f>
        <v>3.5670526720163576</v>
      </c>
      <c r="M39" s="6"/>
    </row>
    <row r="40" spans="1:13" ht="13.5" thickBot="1">
      <c r="A40" s="600" t="s">
        <v>264</v>
      </c>
      <c r="B40" s="43">
        <f>(((B16/B13)^(1/3))-1)*100</f>
        <v>1.0429802805964172</v>
      </c>
      <c r="C40" s="43">
        <f>(((C16/C13)^(1/3))-1)*100</f>
        <v>15.475813886918498</v>
      </c>
      <c r="D40" s="43"/>
      <c r="E40" s="43">
        <f aca="true" t="shared" si="17" ref="E40:J40">(((E16/E13)^(1/3))-1)*100</f>
        <v>9.645909298035749</v>
      </c>
      <c r="F40" s="43">
        <f t="shared" si="17"/>
        <v>4.410065319910261</v>
      </c>
      <c r="G40" s="43">
        <f t="shared" si="17"/>
        <v>2.6775521762558263</v>
      </c>
      <c r="H40" s="43">
        <f t="shared" si="17"/>
        <v>2.8028547702657836</v>
      </c>
      <c r="I40" s="43">
        <f t="shared" si="17"/>
        <v>1.1368590844889725</v>
      </c>
      <c r="J40" s="43">
        <f t="shared" si="17"/>
        <v>12.736635197988267</v>
      </c>
      <c r="K40" s="43"/>
      <c r="L40" s="43">
        <f>(((L16/L13)^(1/3))-1)*100</f>
        <v>8.664113717612821</v>
      </c>
      <c r="M40" s="6"/>
    </row>
  </sheetData>
  <sheetProtection/>
  <mergeCells count="4">
    <mergeCell ref="A2:L2"/>
    <mergeCell ref="B5:L5"/>
    <mergeCell ref="B19:L19"/>
    <mergeCell ref="B31:L31"/>
  </mergeCells>
  <printOptions/>
  <pageMargins left="0.87" right="0.75" top="0.78" bottom="1" header="0" footer="0"/>
  <pageSetup fitToHeight="1" fitToWidth="1" horizontalDpi="600" verticalDpi="600" orientation="portrait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93"/>
  <sheetViews>
    <sheetView view="pageBreakPreview" zoomScaleNormal="85" zoomScaleSheetLayoutView="100" zoomScalePageLayoutView="0" workbookViewId="0" topLeftCell="A1">
      <selection activeCell="G22" sqref="G22"/>
    </sheetView>
  </sheetViews>
  <sheetFormatPr defaultColWidth="11.421875" defaultRowHeight="12.75"/>
  <cols>
    <col min="1" max="1" width="4.421875" style="216" customWidth="1"/>
    <col min="2" max="2" width="22.140625" style="216" customWidth="1"/>
    <col min="3" max="3" width="10.57421875" style="216" customWidth="1"/>
    <col min="4" max="4" width="9.7109375" style="216" customWidth="1"/>
    <col min="5" max="6" width="9.57421875" style="216" customWidth="1"/>
    <col min="7" max="7" width="6.28125" style="216" customWidth="1"/>
    <col min="8" max="8" width="9.28125" style="216" customWidth="1"/>
    <col min="9" max="9" width="10.8515625" style="216" customWidth="1"/>
    <col min="10" max="11" width="9.28125" style="216" customWidth="1"/>
    <col min="12" max="12" width="6.421875" style="216" customWidth="1"/>
    <col min="13" max="13" width="8.140625" style="216" customWidth="1"/>
    <col min="14" max="14" width="9.57421875" style="216" customWidth="1"/>
    <col min="15" max="15" width="8.8515625" style="216" customWidth="1"/>
    <col min="16" max="17" width="11.421875" style="216" customWidth="1"/>
    <col min="18" max="18" width="13.7109375" style="216" bestFit="1" customWidth="1"/>
    <col min="19" max="19" width="14.28125" style="216" bestFit="1" customWidth="1"/>
    <col min="20" max="20" width="13.7109375" style="216" bestFit="1" customWidth="1"/>
    <col min="21" max="16384" width="11.421875" style="216" customWidth="1"/>
  </cols>
  <sheetData>
    <row r="2" ht="18">
      <c r="A2" s="10" t="s">
        <v>49</v>
      </c>
    </row>
    <row r="3" ht="15" customHeight="1">
      <c r="B3" s="332"/>
    </row>
    <row r="4" ht="11.25" customHeight="1" thickBot="1"/>
    <row r="5" spans="2:23" ht="15" customHeight="1">
      <c r="B5" s="1027"/>
      <c r="C5" s="1027"/>
      <c r="D5" s="1028" t="s">
        <v>13</v>
      </c>
      <c r="E5" s="1029"/>
      <c r="F5" s="1029"/>
      <c r="G5" s="1030"/>
      <c r="H5" s="1029" t="s">
        <v>14</v>
      </c>
      <c r="I5" s="1029"/>
      <c r="J5" s="1031"/>
      <c r="K5" s="1031"/>
      <c r="L5" s="1032"/>
      <c r="M5" s="1029" t="s">
        <v>15</v>
      </c>
      <c r="N5" s="1031"/>
      <c r="O5" s="1033"/>
      <c r="W5" s="216" t="s">
        <v>63</v>
      </c>
    </row>
    <row r="6" spans="2:25" ht="13.5" thickBot="1">
      <c r="B6" s="1034" t="s">
        <v>18</v>
      </c>
      <c r="C6" s="1034" t="s">
        <v>0</v>
      </c>
      <c r="D6" s="1035" t="s">
        <v>4</v>
      </c>
      <c r="E6" s="1036" t="s">
        <v>5</v>
      </c>
      <c r="F6" s="1037" t="s">
        <v>61</v>
      </c>
      <c r="G6" s="1037" t="s">
        <v>6</v>
      </c>
      <c r="H6" s="1037" t="s">
        <v>0</v>
      </c>
      <c r="I6" s="1036" t="s">
        <v>4</v>
      </c>
      <c r="J6" s="1036" t="s">
        <v>5</v>
      </c>
      <c r="K6" s="1036" t="s">
        <v>61</v>
      </c>
      <c r="L6" s="1036" t="s">
        <v>6</v>
      </c>
      <c r="M6" s="1038" t="s">
        <v>0</v>
      </c>
      <c r="N6" s="1039" t="s">
        <v>4</v>
      </c>
      <c r="O6" s="1040" t="s">
        <v>5</v>
      </c>
      <c r="W6" s="220" t="s">
        <v>59</v>
      </c>
      <c r="X6" s="220" t="s">
        <v>3</v>
      </c>
      <c r="Y6" s="221" t="s">
        <v>60</v>
      </c>
    </row>
    <row r="7" spans="2:25" ht="12.75">
      <c r="B7" s="333"/>
      <c r="C7" s="334"/>
      <c r="D7" s="335"/>
      <c r="E7" s="336"/>
      <c r="F7" s="337"/>
      <c r="G7" s="338"/>
      <c r="H7" s="339"/>
      <c r="I7" s="229"/>
      <c r="J7" s="229"/>
      <c r="K7" s="229"/>
      <c r="L7" s="230"/>
      <c r="M7" s="231"/>
      <c r="N7" s="229"/>
      <c r="O7" s="233"/>
      <c r="W7" s="300"/>
      <c r="X7" s="300"/>
      <c r="Y7" s="340"/>
    </row>
    <row r="8" spans="2:25" ht="12.75">
      <c r="B8" s="341">
        <v>1995</v>
      </c>
      <c r="C8" s="342">
        <f aca="true" t="shared" si="0" ref="C8:C13">SUM(D8:G8)</f>
        <v>16880.114601</v>
      </c>
      <c r="D8" s="343">
        <f aca="true" t="shared" si="1" ref="D8:E13">(I8+N8)</f>
        <v>12937.553461</v>
      </c>
      <c r="E8" s="344">
        <f t="shared" si="1"/>
        <v>3942.5611400000003</v>
      </c>
      <c r="F8" s="345"/>
      <c r="G8" s="346" t="s">
        <v>7</v>
      </c>
      <c r="H8" s="347">
        <f aca="true" t="shared" si="2" ref="H8:H25">SUM(I8:L8)</f>
        <v>13106.313096999998</v>
      </c>
      <c r="I8" s="259">
        <v>11540.590328999999</v>
      </c>
      <c r="J8" s="259">
        <v>1565.722768</v>
      </c>
      <c r="K8" s="259"/>
      <c r="L8" s="260" t="str">
        <f>+'[3]Desagregado'!N8</f>
        <v>---</v>
      </c>
      <c r="M8" s="348">
        <f aca="true" t="shared" si="3" ref="M8:M26">SUM(N8:O8)</f>
        <v>3773.801504</v>
      </c>
      <c r="N8" s="259">
        <v>1396.9631319999999</v>
      </c>
      <c r="O8" s="262">
        <v>2376.838372</v>
      </c>
      <c r="W8" s="223"/>
      <c r="X8" s="224"/>
      <c r="Y8" s="234"/>
    </row>
    <row r="9" spans="2:25" ht="12.75">
      <c r="B9" s="333">
        <v>1996</v>
      </c>
      <c r="C9" s="349">
        <f t="shared" si="0"/>
        <v>17279.812293</v>
      </c>
      <c r="D9" s="335">
        <f t="shared" si="1"/>
        <v>13323.572078</v>
      </c>
      <c r="E9" s="336">
        <f t="shared" si="1"/>
        <v>3955.8302150000004</v>
      </c>
      <c r="F9" s="337"/>
      <c r="G9" s="350">
        <f>+L9</f>
        <v>0.41</v>
      </c>
      <c r="H9" s="337">
        <f t="shared" si="2"/>
        <v>13307.577021</v>
      </c>
      <c r="I9" s="229">
        <v>11847.925377</v>
      </c>
      <c r="J9" s="229">
        <v>1459.2416440000002</v>
      </c>
      <c r="K9" s="229"/>
      <c r="L9" s="351">
        <f>+'[3]Desagregado'!N9</f>
        <v>0.41</v>
      </c>
      <c r="M9" s="228">
        <f t="shared" si="3"/>
        <v>3972.2352720000004</v>
      </c>
      <c r="N9" s="229">
        <v>1475.6467010000001</v>
      </c>
      <c r="O9" s="233">
        <v>2496.5885710000002</v>
      </c>
      <c r="W9" s="223"/>
      <c r="X9" s="224"/>
      <c r="Y9" s="234"/>
    </row>
    <row r="10" spans="2:25" ht="12.75">
      <c r="B10" s="341">
        <v>1997</v>
      </c>
      <c r="C10" s="352">
        <f t="shared" si="0"/>
        <v>17953.407575</v>
      </c>
      <c r="D10" s="343">
        <f t="shared" si="1"/>
        <v>13214.529482000002</v>
      </c>
      <c r="E10" s="344">
        <f t="shared" si="1"/>
        <v>4738.322437000001</v>
      </c>
      <c r="F10" s="345"/>
      <c r="G10" s="346">
        <f aca="true" t="shared" si="4" ref="G10:G23">+L10</f>
        <v>0.5556559999999999</v>
      </c>
      <c r="H10" s="347">
        <f t="shared" si="2"/>
        <v>15348.556876000002</v>
      </c>
      <c r="I10" s="259">
        <v>12264.791790000001</v>
      </c>
      <c r="J10" s="259">
        <v>3083.209430000001</v>
      </c>
      <c r="K10" s="259"/>
      <c r="L10" s="260">
        <f>+'[3]Desagregado'!N10</f>
        <v>0.5556559999999999</v>
      </c>
      <c r="M10" s="348">
        <f t="shared" si="3"/>
        <v>2604.8506989999996</v>
      </c>
      <c r="N10" s="259">
        <v>949.7376919999999</v>
      </c>
      <c r="O10" s="262">
        <v>1655.113007</v>
      </c>
      <c r="W10" s="223"/>
      <c r="X10" s="224"/>
      <c r="Y10" s="234"/>
    </row>
    <row r="11" spans="2:25" ht="12.75">
      <c r="B11" s="333">
        <v>1998</v>
      </c>
      <c r="C11" s="334">
        <f t="shared" si="0"/>
        <v>18582.538846000003</v>
      </c>
      <c r="D11" s="335">
        <f t="shared" si="1"/>
        <v>13808.285138000003</v>
      </c>
      <c r="E11" s="336">
        <f t="shared" si="1"/>
        <v>4773.727268000001</v>
      </c>
      <c r="F11" s="337"/>
      <c r="G11" s="350">
        <f t="shared" si="4"/>
        <v>0.52644</v>
      </c>
      <c r="H11" s="339">
        <f t="shared" si="2"/>
        <v>16815.936847000004</v>
      </c>
      <c r="I11" s="229">
        <v>13367.193777000002</v>
      </c>
      <c r="J11" s="229">
        <v>3448.21663</v>
      </c>
      <c r="K11" s="229"/>
      <c r="L11" s="245">
        <f>+'[3]Desagregado'!N11</f>
        <v>0.52644</v>
      </c>
      <c r="M11" s="231">
        <f t="shared" si="3"/>
        <v>1766.6019990000002</v>
      </c>
      <c r="N11" s="229">
        <v>441.091361</v>
      </c>
      <c r="O11" s="233">
        <v>1325.5106380000002</v>
      </c>
      <c r="W11" s="251"/>
      <c r="X11" s="353"/>
      <c r="Y11" s="253"/>
    </row>
    <row r="12" spans="2:25" ht="12.75">
      <c r="B12" s="341">
        <v>1999</v>
      </c>
      <c r="C12" s="352">
        <f t="shared" si="0"/>
        <v>19049.617396999998</v>
      </c>
      <c r="D12" s="343">
        <f t="shared" si="1"/>
        <v>14540.581285</v>
      </c>
      <c r="E12" s="344">
        <f t="shared" si="1"/>
        <v>4508.411532</v>
      </c>
      <c r="F12" s="345"/>
      <c r="G12" s="346">
        <f t="shared" si="4"/>
        <v>0.62458</v>
      </c>
      <c r="H12" s="347">
        <f t="shared" si="2"/>
        <v>17366.221878</v>
      </c>
      <c r="I12" s="259">
        <v>14110.592026</v>
      </c>
      <c r="J12" s="259">
        <v>3255.005272</v>
      </c>
      <c r="K12" s="259"/>
      <c r="L12" s="260">
        <f>+'[3]Desagregado'!N12</f>
        <v>0.62458</v>
      </c>
      <c r="M12" s="348">
        <f t="shared" si="3"/>
        <v>1683.3955190000001</v>
      </c>
      <c r="N12" s="259">
        <v>429.98925900000006</v>
      </c>
      <c r="O12" s="262">
        <v>1253.40626</v>
      </c>
      <c r="W12" s="354"/>
      <c r="X12" s="355"/>
      <c r="Y12" s="356"/>
    </row>
    <row r="13" spans="2:25" ht="12.75">
      <c r="B13" s="333">
        <v>2000</v>
      </c>
      <c r="C13" s="349">
        <f t="shared" si="0"/>
        <v>19922.697338</v>
      </c>
      <c r="D13" s="335">
        <f t="shared" si="1"/>
        <v>16176.051366</v>
      </c>
      <c r="E13" s="336">
        <f t="shared" si="1"/>
        <v>3745.8002719999995</v>
      </c>
      <c r="F13" s="337"/>
      <c r="G13" s="350">
        <f t="shared" si="4"/>
        <v>0.8457</v>
      </c>
      <c r="H13" s="339">
        <f t="shared" si="2"/>
        <v>18327.897719</v>
      </c>
      <c r="I13" s="229">
        <v>15747.323264999999</v>
      </c>
      <c r="J13" s="229">
        <v>2579.7287539999998</v>
      </c>
      <c r="K13" s="229"/>
      <c r="L13" s="245">
        <f>+'[3]Desagregado'!N13</f>
        <v>0.8457</v>
      </c>
      <c r="M13" s="231">
        <f t="shared" si="3"/>
        <v>1594.7996189999994</v>
      </c>
      <c r="N13" s="229">
        <v>428.728101</v>
      </c>
      <c r="O13" s="233">
        <v>1166.0715179999995</v>
      </c>
      <c r="W13" s="354"/>
      <c r="X13" s="355"/>
      <c r="Y13" s="356"/>
    </row>
    <row r="14" spans="2:15" ht="12.75">
      <c r="B14" s="258">
        <v>2001</v>
      </c>
      <c r="C14" s="342">
        <f aca="true" t="shared" si="5" ref="C14:C25">SUM(D14:G14)</f>
        <v>20785.725534999998</v>
      </c>
      <c r="D14" s="343">
        <f>(I14+N14)</f>
        <v>17614.760199999997</v>
      </c>
      <c r="E14" s="344">
        <f>(J14+O14)</f>
        <v>3169.738935</v>
      </c>
      <c r="F14" s="345"/>
      <c r="G14" s="346">
        <f t="shared" si="4"/>
        <v>1.2264000000000002</v>
      </c>
      <c r="H14" s="347">
        <f t="shared" si="2"/>
        <v>19214.506641999997</v>
      </c>
      <c r="I14" s="259">
        <v>17188.330774</v>
      </c>
      <c r="J14" s="259">
        <v>2024.9494680000003</v>
      </c>
      <c r="K14" s="259"/>
      <c r="L14" s="260">
        <f>+'[3]Desagregado'!N16</f>
        <v>1.2264000000000002</v>
      </c>
      <c r="M14" s="348">
        <f t="shared" si="3"/>
        <v>1571.2188929999998</v>
      </c>
      <c r="N14" s="259">
        <v>426.42942600000003</v>
      </c>
      <c r="O14" s="262">
        <v>1144.7894669999996</v>
      </c>
    </row>
    <row r="15" spans="2:25" ht="12.75">
      <c r="B15" s="242">
        <v>2002</v>
      </c>
      <c r="C15" s="349">
        <f t="shared" si="5"/>
        <v>21982.323172000008</v>
      </c>
      <c r="D15" s="335">
        <f aca="true" t="shared" si="6" ref="D15:E24">SUM(I15,N15)</f>
        <v>18040.127915000005</v>
      </c>
      <c r="E15" s="336">
        <f t="shared" si="6"/>
        <v>3940.9688570000035</v>
      </c>
      <c r="F15" s="336"/>
      <c r="G15" s="357">
        <f t="shared" si="4"/>
        <v>1.2264000000000002</v>
      </c>
      <c r="H15" s="337">
        <f t="shared" si="2"/>
        <v>20419.508673000004</v>
      </c>
      <c r="I15" s="243">
        <v>17638.158238000004</v>
      </c>
      <c r="J15" s="243">
        <v>2780.1240350000003</v>
      </c>
      <c r="K15" s="243"/>
      <c r="L15" s="245">
        <f>+'[3]Desagregado'!N17</f>
        <v>1.2264000000000002</v>
      </c>
      <c r="M15" s="231">
        <f t="shared" si="3"/>
        <v>1562.8144990000035</v>
      </c>
      <c r="N15" s="229">
        <v>401.9696770000001</v>
      </c>
      <c r="O15" s="233">
        <v>1160.8448220000034</v>
      </c>
      <c r="W15" s="354"/>
      <c r="X15" s="355"/>
      <c r="Y15" s="356"/>
    </row>
    <row r="16" spans="2:25" ht="12.75">
      <c r="B16" s="258">
        <v>2003</v>
      </c>
      <c r="C16" s="342">
        <f t="shared" si="5"/>
        <v>22923.353873999997</v>
      </c>
      <c r="D16" s="343">
        <f t="shared" si="6"/>
        <v>18533.720860999994</v>
      </c>
      <c r="E16" s="344">
        <f t="shared" si="6"/>
        <v>4388.406613000003</v>
      </c>
      <c r="F16" s="344"/>
      <c r="G16" s="358">
        <f t="shared" si="4"/>
        <v>1.2264000000000002</v>
      </c>
      <c r="H16" s="345">
        <f t="shared" si="2"/>
        <v>21361.462929999994</v>
      </c>
      <c r="I16" s="261">
        <v>18118.333137999995</v>
      </c>
      <c r="J16" s="261">
        <v>3241.9033919999997</v>
      </c>
      <c r="K16" s="261"/>
      <c r="L16" s="260">
        <f>+'[3]Desagregado'!N18</f>
        <v>1.2264000000000002</v>
      </c>
      <c r="M16" s="348">
        <f t="shared" si="3"/>
        <v>1561.8909440000034</v>
      </c>
      <c r="N16" s="259">
        <v>415.38772300000005</v>
      </c>
      <c r="O16" s="262">
        <v>1146.5032210000034</v>
      </c>
      <c r="W16" s="354"/>
      <c r="X16" s="355"/>
      <c r="Y16" s="356"/>
    </row>
    <row r="17" spans="2:25" ht="12.75">
      <c r="B17" s="242">
        <v>2004</v>
      </c>
      <c r="C17" s="349">
        <f t="shared" si="5"/>
        <v>24267.012071000005</v>
      </c>
      <c r="D17" s="335">
        <f t="shared" si="6"/>
        <v>17525.338961000005</v>
      </c>
      <c r="E17" s="336">
        <f t="shared" si="6"/>
        <v>6740.446710000001</v>
      </c>
      <c r="F17" s="336"/>
      <c r="G17" s="357">
        <f t="shared" si="4"/>
        <v>1.2264000000000002</v>
      </c>
      <c r="H17" s="337">
        <f t="shared" si="2"/>
        <v>22619.938791000004</v>
      </c>
      <c r="I17" s="243">
        <v>17100.664633000004</v>
      </c>
      <c r="J17" s="243">
        <v>5518.047758000001</v>
      </c>
      <c r="K17" s="243"/>
      <c r="L17" s="245">
        <f>+'[3]Desagregado'!N19</f>
        <v>1.2264000000000002</v>
      </c>
      <c r="M17" s="231">
        <f t="shared" si="3"/>
        <v>1647.0732800000003</v>
      </c>
      <c r="N17" s="229">
        <v>424.674328</v>
      </c>
      <c r="O17" s="233">
        <v>1222.3989520000002</v>
      </c>
      <c r="W17" s="354"/>
      <c r="X17" s="355"/>
      <c r="Y17" s="356"/>
    </row>
    <row r="18" spans="2:25" ht="12.75">
      <c r="B18" s="258">
        <v>2005</v>
      </c>
      <c r="C18" s="342">
        <f t="shared" si="5"/>
        <v>25509.736815000004</v>
      </c>
      <c r="D18" s="343">
        <f t="shared" si="6"/>
        <v>17976.993336</v>
      </c>
      <c r="E18" s="344">
        <f t="shared" si="6"/>
        <v>7531.517079000003</v>
      </c>
      <c r="F18" s="344"/>
      <c r="G18" s="358">
        <f t="shared" si="4"/>
        <v>1.2264000000000002</v>
      </c>
      <c r="H18" s="345">
        <f t="shared" si="2"/>
        <v>23810.874944792748</v>
      </c>
      <c r="I18" s="261">
        <v>17567.10537779275</v>
      </c>
      <c r="J18" s="261">
        <v>6242.543167</v>
      </c>
      <c r="K18" s="261"/>
      <c r="L18" s="260">
        <f>+'[3]Desagregado'!N20</f>
        <v>1.2264000000000002</v>
      </c>
      <c r="M18" s="348">
        <f t="shared" si="3"/>
        <v>1698.861870207253</v>
      </c>
      <c r="N18" s="259">
        <v>409.88795820724977</v>
      </c>
      <c r="O18" s="262">
        <v>1288.9739120000033</v>
      </c>
      <c r="W18" s="354"/>
      <c r="X18" s="355"/>
      <c r="Y18" s="356"/>
    </row>
    <row r="19" spans="2:25" ht="12.75">
      <c r="B19" s="359">
        <v>2006</v>
      </c>
      <c r="C19" s="349">
        <f>SUM(D19:G19)</f>
        <v>27369.828727579996</v>
      </c>
      <c r="D19" s="335">
        <f t="shared" si="6"/>
        <v>19594.347163999995</v>
      </c>
      <c r="E19" s="336">
        <f t="shared" si="6"/>
        <v>7774.255163580001</v>
      </c>
      <c r="F19" s="336"/>
      <c r="G19" s="357">
        <f t="shared" si="4"/>
        <v>1.2264000000000002</v>
      </c>
      <c r="H19" s="337">
        <f t="shared" si="2"/>
        <v>25613.763789958582</v>
      </c>
      <c r="I19" s="243">
        <v>19160.75164295858</v>
      </c>
      <c r="J19" s="243">
        <v>6451.785747000001</v>
      </c>
      <c r="K19" s="243"/>
      <c r="L19" s="245">
        <f>+'[3]Desagregado'!N21</f>
        <v>1.2264000000000002</v>
      </c>
      <c r="M19" s="231">
        <f t="shared" si="3"/>
        <v>1756.064937621414</v>
      </c>
      <c r="N19" s="229">
        <v>433.59552104141386</v>
      </c>
      <c r="O19" s="233">
        <v>1322.4694165800001</v>
      </c>
      <c r="W19" s="354"/>
      <c r="X19" s="355"/>
      <c r="Y19" s="356"/>
    </row>
    <row r="20" spans="2:25" ht="12.75">
      <c r="B20" s="316">
        <v>2007</v>
      </c>
      <c r="C20" s="352">
        <f t="shared" si="5"/>
        <v>29943.047142000003</v>
      </c>
      <c r="D20" s="343">
        <f t="shared" si="6"/>
        <v>19548.782020000002</v>
      </c>
      <c r="E20" s="343">
        <f t="shared" si="6"/>
        <v>10393.038722000001</v>
      </c>
      <c r="F20" s="343"/>
      <c r="G20" s="358">
        <f t="shared" si="4"/>
        <v>1.2264000000000002</v>
      </c>
      <c r="H20" s="345">
        <f t="shared" si="2"/>
        <v>28200.49109034</v>
      </c>
      <c r="I20" s="261">
        <v>19107.19396634</v>
      </c>
      <c r="J20" s="261">
        <v>9092.070724000001</v>
      </c>
      <c r="K20" s="261"/>
      <c r="L20" s="260">
        <f>+'[3]Desagregado'!N22</f>
        <v>1.2264000000000002</v>
      </c>
      <c r="M20" s="348">
        <f t="shared" si="3"/>
        <v>1742.5560516600003</v>
      </c>
      <c r="N20" s="259">
        <v>441.58805366</v>
      </c>
      <c r="O20" s="262">
        <v>1300.9679980000003</v>
      </c>
      <c r="W20" s="354"/>
      <c r="X20" s="355"/>
      <c r="Y20" s="356"/>
    </row>
    <row r="21" spans="2:25" ht="12.75">
      <c r="B21" s="360">
        <v>2008</v>
      </c>
      <c r="C21" s="361">
        <f t="shared" si="5"/>
        <v>32463.106282999997</v>
      </c>
      <c r="D21" s="362">
        <f t="shared" si="6"/>
        <v>19059.617748999997</v>
      </c>
      <c r="E21" s="362">
        <f t="shared" si="6"/>
        <v>13402.262134</v>
      </c>
      <c r="F21" s="362"/>
      <c r="G21" s="363">
        <f t="shared" si="4"/>
        <v>1.2264000000000004</v>
      </c>
      <c r="H21" s="364">
        <f t="shared" si="2"/>
        <v>30574.711256</v>
      </c>
      <c r="I21" s="257">
        <v>18607.792106999997</v>
      </c>
      <c r="J21" s="257">
        <v>11965.692749000002</v>
      </c>
      <c r="K21" s="257"/>
      <c r="L21" s="256">
        <f>+'[3]Desagregado'!N23</f>
        <v>1.2264000000000004</v>
      </c>
      <c r="M21" s="365">
        <f t="shared" si="3"/>
        <v>1888.3950269999998</v>
      </c>
      <c r="N21" s="255">
        <v>451.825642</v>
      </c>
      <c r="O21" s="263">
        <v>1436.5693849999998</v>
      </c>
      <c r="W21" s="354"/>
      <c r="X21" s="355"/>
      <c r="Y21" s="356"/>
    </row>
    <row r="22" spans="2:25" ht="12.75">
      <c r="B22" s="316">
        <v>2009</v>
      </c>
      <c r="C22" s="352">
        <f t="shared" si="5"/>
        <v>32944.735820999995</v>
      </c>
      <c r="D22" s="343">
        <f t="shared" si="6"/>
        <v>19903.776404</v>
      </c>
      <c r="E22" s="343">
        <f t="shared" si="6"/>
        <v>13039.733016999999</v>
      </c>
      <c r="F22" s="343"/>
      <c r="G22" s="358">
        <f t="shared" si="4"/>
        <v>1.2264000000000002</v>
      </c>
      <c r="H22" s="345">
        <f t="shared" si="2"/>
        <v>30921.902782999998</v>
      </c>
      <c r="I22" s="261">
        <v>19419.221612</v>
      </c>
      <c r="J22" s="261">
        <v>11501.454770999999</v>
      </c>
      <c r="K22" s="261"/>
      <c r="L22" s="260">
        <f>+'[3]Desagregado'!N24</f>
        <v>1.2264000000000002</v>
      </c>
      <c r="M22" s="348">
        <f t="shared" si="3"/>
        <v>2022.8330380000002</v>
      </c>
      <c r="N22" s="259">
        <v>484.5547920000001</v>
      </c>
      <c r="O22" s="262">
        <v>1538.278246</v>
      </c>
      <c r="W22" s="354"/>
      <c r="X22" s="355"/>
      <c r="Y22" s="356"/>
    </row>
    <row r="23" spans="2:25" ht="12.75">
      <c r="B23" s="360">
        <v>2010</v>
      </c>
      <c r="C23" s="361">
        <f t="shared" si="5"/>
        <v>35908.0079412</v>
      </c>
      <c r="D23" s="362">
        <f t="shared" si="6"/>
        <v>20052.1292802</v>
      </c>
      <c r="E23" s="362">
        <f t="shared" si="6"/>
        <v>15854.652261</v>
      </c>
      <c r="F23" s="362"/>
      <c r="G23" s="363">
        <f t="shared" si="4"/>
        <v>1.2264000000000002</v>
      </c>
      <c r="H23" s="364">
        <f t="shared" si="2"/>
        <v>33545.81580719999</v>
      </c>
      <c r="I23" s="257">
        <v>19567.4046092</v>
      </c>
      <c r="J23" s="255">
        <v>13977.184797999998</v>
      </c>
      <c r="K23" s="255"/>
      <c r="L23" s="256">
        <f>+'[3]Desagregado'!N25</f>
        <v>1.2264000000000002</v>
      </c>
      <c r="M23" s="365">
        <f t="shared" si="3"/>
        <v>2362.192134</v>
      </c>
      <c r="N23" s="255">
        <v>484.72467099999994</v>
      </c>
      <c r="O23" s="263">
        <v>1877.467463</v>
      </c>
      <c r="W23" s="354"/>
      <c r="X23" s="355"/>
      <c r="Y23" s="356"/>
    </row>
    <row r="24" spans="2:25" s="254" customFormat="1" ht="12.75">
      <c r="B24" s="316">
        <v>2011</v>
      </c>
      <c r="C24" s="352">
        <f t="shared" si="5"/>
        <v>38806.461244008904</v>
      </c>
      <c r="D24" s="343">
        <f t="shared" si="6"/>
        <v>21557.32671678524</v>
      </c>
      <c r="E24" s="343">
        <f t="shared" si="6"/>
        <v>17247.908127223665</v>
      </c>
      <c r="F24" s="343"/>
      <c r="G24" s="358">
        <f>+L24</f>
        <v>1.2264000000000004</v>
      </c>
      <c r="H24" s="345">
        <f t="shared" si="2"/>
        <v>36248.532290235235</v>
      </c>
      <c r="I24" s="261">
        <v>21027.41840423524</v>
      </c>
      <c r="J24" s="259">
        <v>15219.887485999994</v>
      </c>
      <c r="K24" s="259"/>
      <c r="L24" s="260">
        <f>+'[3]Desagregado'!N26</f>
        <v>1.2264000000000004</v>
      </c>
      <c r="M24" s="348">
        <f t="shared" si="3"/>
        <v>2557.928953773672</v>
      </c>
      <c r="N24" s="259">
        <v>529.9083125500001</v>
      </c>
      <c r="O24" s="262">
        <v>2028.0206412236719</v>
      </c>
      <c r="W24" s="366"/>
      <c r="X24" s="367"/>
      <c r="Y24" s="368"/>
    </row>
    <row r="25" spans="2:25" s="254" customFormat="1" ht="12.75">
      <c r="B25" s="360">
        <v>2012</v>
      </c>
      <c r="C25" s="361">
        <f t="shared" si="5"/>
        <v>41035.983073207906</v>
      </c>
      <c r="D25" s="362">
        <f>SUM(I25,N25)</f>
        <v>22031.93804599997</v>
      </c>
      <c r="E25" s="362">
        <f>SUM(J25,O25)</f>
        <v>18943.135640407934</v>
      </c>
      <c r="F25" s="362">
        <f>SUM(K25)</f>
        <v>59.6829868</v>
      </c>
      <c r="G25" s="363">
        <f>+L25</f>
        <v>1.2264000000000002</v>
      </c>
      <c r="H25" s="364">
        <f t="shared" si="2"/>
        <v>38361.029340799956</v>
      </c>
      <c r="I25" s="257">
        <v>21490.80766299997</v>
      </c>
      <c r="J25" s="255">
        <v>16809.312290999987</v>
      </c>
      <c r="K25" s="255">
        <v>59.6829868</v>
      </c>
      <c r="L25" s="256">
        <v>1.2264000000000002</v>
      </c>
      <c r="M25" s="365">
        <f t="shared" si="3"/>
        <v>2674.9537324079456</v>
      </c>
      <c r="N25" s="255">
        <v>541.130383</v>
      </c>
      <c r="O25" s="263">
        <v>2133.8233494079454</v>
      </c>
      <c r="W25" s="366"/>
      <c r="X25" s="367"/>
      <c r="Y25" s="368"/>
    </row>
    <row r="26" spans="2:25" s="254" customFormat="1" ht="12.75">
      <c r="B26" s="316">
        <v>2013</v>
      </c>
      <c r="C26" s="352">
        <f>SUM(D26:G26)</f>
        <v>43330.17549048535</v>
      </c>
      <c r="D26" s="343">
        <f>SUM(I26,N26)</f>
        <v>22319.562549982984</v>
      </c>
      <c r="E26" s="343">
        <f>SUM(J26,O26)</f>
        <v>20812.458660502365</v>
      </c>
      <c r="F26" s="343">
        <f>SUM(K26)</f>
        <v>196.92788000000002</v>
      </c>
      <c r="G26" s="358">
        <f>+L26</f>
        <v>1.2264000000000002</v>
      </c>
      <c r="H26" s="345">
        <f>SUM(I26:L26)</f>
        <v>40664.666419178946</v>
      </c>
      <c r="I26" s="261">
        <v>21709.384683427117</v>
      </c>
      <c r="J26" s="259">
        <v>18757.127455751826</v>
      </c>
      <c r="K26" s="259">
        <v>196.92788000000002</v>
      </c>
      <c r="L26" s="260">
        <v>1.2264000000000002</v>
      </c>
      <c r="M26" s="348">
        <f t="shared" si="3"/>
        <v>2665.5090713064064</v>
      </c>
      <c r="N26" s="259">
        <v>610.1778665558659</v>
      </c>
      <c r="O26" s="262">
        <v>2055.3312047505406</v>
      </c>
      <c r="W26" s="366"/>
      <c r="X26" s="367"/>
      <c r="Y26" s="368"/>
    </row>
    <row r="27" spans="1:25" s="369" customFormat="1" ht="13.5" thickBot="1">
      <c r="A27" s="254"/>
      <c r="B27" s="360"/>
      <c r="C27" s="361"/>
      <c r="D27" s="362"/>
      <c r="E27" s="362"/>
      <c r="F27" s="362"/>
      <c r="G27" s="363"/>
      <c r="H27" s="364"/>
      <c r="I27" s="257"/>
      <c r="J27" s="255"/>
      <c r="K27" s="255"/>
      <c r="L27" s="256"/>
      <c r="M27" s="365"/>
      <c r="N27" s="255"/>
      <c r="O27" s="263"/>
      <c r="R27" s="216"/>
      <c r="S27" s="216" t="s">
        <v>4</v>
      </c>
      <c r="T27" s="216" t="s">
        <v>5</v>
      </c>
      <c r="U27" s="369" t="s">
        <v>61</v>
      </c>
      <c r="W27" s="370"/>
      <c r="X27" s="371"/>
      <c r="Y27" s="372"/>
    </row>
    <row r="28" spans="2:20" ht="12.75" customHeight="1">
      <c r="B28" s="373" t="s">
        <v>254</v>
      </c>
      <c r="C28" s="374">
        <f>(C26/C25)-1</f>
        <v>0.055906846758968065</v>
      </c>
      <c r="D28" s="375">
        <f>(D26/D25)-1</f>
        <v>0.013054888924546315</v>
      </c>
      <c r="E28" s="376">
        <f>(E26/E25)-1</f>
        <v>0.0986807599110966</v>
      </c>
      <c r="F28" s="377"/>
      <c r="G28" s="378"/>
      <c r="H28" s="608">
        <f>(H26/H25)-1</f>
        <v>0.06005149282917932</v>
      </c>
      <c r="I28" s="379">
        <f>(I26/I25)-1</f>
        <v>0.010170721540794458</v>
      </c>
      <c r="J28" s="376">
        <f>(J26/J25)-1</f>
        <v>0.1158771477994811</v>
      </c>
      <c r="K28" s="377"/>
      <c r="L28" s="378"/>
      <c r="M28" s="374">
        <f>(M26/M25)-1</f>
        <v>-0.0035307754998203933</v>
      </c>
      <c r="N28" s="379">
        <f>(N26/N25)-1</f>
        <v>0.12759860788645794</v>
      </c>
      <c r="O28" s="376">
        <f>(O26/O25)-1</f>
        <v>-0.036784743535205666</v>
      </c>
      <c r="R28" s="216">
        <v>1995</v>
      </c>
      <c r="S28" s="380">
        <f aca="true" t="shared" si="7" ref="S28:S44">D8</f>
        <v>12937.553461</v>
      </c>
      <c r="T28" s="380">
        <f aca="true" t="shared" si="8" ref="T28:T44">E8</f>
        <v>3942.5611400000003</v>
      </c>
    </row>
    <row r="29" spans="2:20" ht="12.75" customHeight="1">
      <c r="B29" s="381" t="s">
        <v>255</v>
      </c>
      <c r="C29" s="382">
        <f>((C26/C21)^(1/5))-1</f>
        <v>0.05944904753482594</v>
      </c>
      <c r="D29" s="383">
        <f>((D26/D21)^(1/5))-1</f>
        <v>0.03208222480543044</v>
      </c>
      <c r="E29" s="384">
        <f>((E26/E21)^(1/5))-1</f>
        <v>0.09201613685739218</v>
      </c>
      <c r="F29" s="385"/>
      <c r="G29" s="386"/>
      <c r="H29" s="382">
        <f>((H26/H21)^(1/5))-1</f>
        <v>0.05869526314777285</v>
      </c>
      <c r="I29" s="383">
        <f>((I26/I21)^(1/5))-1</f>
        <v>0.03131309878363542</v>
      </c>
      <c r="J29" s="384">
        <f>((J26/J21)^(1/5))-1</f>
        <v>0.09407147850176623</v>
      </c>
      <c r="K29" s="385"/>
      <c r="L29" s="387"/>
      <c r="M29" s="382">
        <f>((M26/M21)^(1/5))-1</f>
        <v>0.07136502191945282</v>
      </c>
      <c r="N29" s="383">
        <f>((N26/N21)^(1/5))-1</f>
        <v>0.06193299574614097</v>
      </c>
      <c r="O29" s="384">
        <f>((O26/O21)^(1/5))-1</f>
        <v>0.07426404850899204</v>
      </c>
      <c r="R29" s="216">
        <v>1996</v>
      </c>
      <c r="S29" s="380">
        <f t="shared" si="7"/>
        <v>13323.572078</v>
      </c>
      <c r="T29" s="380">
        <f t="shared" si="8"/>
        <v>3955.8302150000004</v>
      </c>
    </row>
    <row r="30" spans="2:20" ht="12.75" customHeight="1">
      <c r="B30" s="388" t="s">
        <v>256</v>
      </c>
      <c r="C30" s="389">
        <f>(C26/C13)-1</f>
        <v>1.1749151109091325</v>
      </c>
      <c r="D30" s="390">
        <f>(D26/D13)-1</f>
        <v>0.3797905338564802</v>
      </c>
      <c r="E30" s="391">
        <f>(E26/E13)-1</f>
        <v>4.556211530037063</v>
      </c>
      <c r="F30" s="385"/>
      <c r="G30" s="386"/>
      <c r="H30" s="389">
        <f>(H26/H13)-1</f>
        <v>1.2187305408750215</v>
      </c>
      <c r="I30" s="390">
        <f>(I26/I13)-1</f>
        <v>0.37860792708043256</v>
      </c>
      <c r="J30" s="391">
        <f>(J26/J13)-1</f>
        <v>6.270968867043852</v>
      </c>
      <c r="K30" s="385"/>
      <c r="L30" s="387"/>
      <c r="M30" s="389">
        <f>(M26/M13)-1</f>
        <v>0.6713755380615045</v>
      </c>
      <c r="N30" s="390">
        <f>(N26/N13)-1</f>
        <v>0.42322806723570916</v>
      </c>
      <c r="O30" s="391">
        <f>(O26/O13)-1</f>
        <v>0.7626116177468811</v>
      </c>
      <c r="R30" s="216">
        <v>1997</v>
      </c>
      <c r="S30" s="380">
        <f t="shared" si="7"/>
        <v>13214.529482000002</v>
      </c>
      <c r="T30" s="380">
        <f t="shared" si="8"/>
        <v>4738.322437000001</v>
      </c>
    </row>
    <row r="31" spans="2:20" ht="12.75" customHeight="1" thickBot="1">
      <c r="B31" s="392" t="s">
        <v>257</v>
      </c>
      <c r="C31" s="393">
        <f>((C26/C13)^(1/13))-1</f>
        <v>0.0615906891429403</v>
      </c>
      <c r="D31" s="606">
        <f>((D26/D13)^(1/13))-1</f>
        <v>0.025073151097526614</v>
      </c>
      <c r="E31" s="607">
        <f>((E26/E13)^(1/13))-1</f>
        <v>0.14101321593627647</v>
      </c>
      <c r="F31" s="385"/>
      <c r="G31" s="387"/>
      <c r="H31" s="605">
        <f>((H26/H13)^(1/13))-1</f>
        <v>0.06322071088574432</v>
      </c>
      <c r="I31" s="394">
        <f>((I26/I13)^(1/13))-1</f>
        <v>0.025005541154937916</v>
      </c>
      <c r="J31" s="395">
        <f>((J26/J13)^(1/13))-1</f>
        <v>0.16486696644508525</v>
      </c>
      <c r="K31" s="385"/>
      <c r="L31" s="387"/>
      <c r="M31" s="393">
        <f>((M26/M13)^(1/13))-1</f>
        <v>0.04030225926588282</v>
      </c>
      <c r="N31" s="394">
        <f>((N26/N13)^(1/13))-1</f>
        <v>0.027520147286675067</v>
      </c>
      <c r="O31" s="395">
        <f>((O26/O13)^(1/13))-1</f>
        <v>0.0445641709675646</v>
      </c>
      <c r="R31" s="216">
        <v>1998</v>
      </c>
      <c r="S31" s="380">
        <f t="shared" si="7"/>
        <v>13808.285138000003</v>
      </c>
      <c r="T31" s="380">
        <f t="shared" si="8"/>
        <v>4773.727268000001</v>
      </c>
    </row>
    <row r="32" spans="2:20" ht="12.75">
      <c r="B32" s="296"/>
      <c r="C32" s="396"/>
      <c r="K32" s="254"/>
      <c r="R32" s="216">
        <v>1999</v>
      </c>
      <c r="S32" s="380">
        <f t="shared" si="7"/>
        <v>14540.581285</v>
      </c>
      <c r="T32" s="380">
        <f t="shared" si="8"/>
        <v>4508.411532</v>
      </c>
    </row>
    <row r="33" spans="2:20" ht="12.75">
      <c r="B33" s="296"/>
      <c r="C33" s="396"/>
      <c r="K33" s="254"/>
      <c r="R33" s="216">
        <v>2000</v>
      </c>
      <c r="S33" s="380">
        <f t="shared" si="7"/>
        <v>16176.051366</v>
      </c>
      <c r="T33" s="380">
        <f t="shared" si="8"/>
        <v>3745.8002719999995</v>
      </c>
    </row>
    <row r="34" spans="2:20" ht="12.75">
      <c r="B34" s="296"/>
      <c r="C34" s="396"/>
      <c r="K34" s="254"/>
      <c r="R34" s="216">
        <v>2001</v>
      </c>
      <c r="S34" s="380">
        <f t="shared" si="7"/>
        <v>17614.760199999997</v>
      </c>
      <c r="T34" s="380">
        <f t="shared" si="8"/>
        <v>3169.738935</v>
      </c>
    </row>
    <row r="35" spans="2:20" ht="12.75">
      <c r="B35" s="299"/>
      <c r="C35" s="396"/>
      <c r="R35" s="216">
        <v>2002</v>
      </c>
      <c r="S35" s="380">
        <f t="shared" si="7"/>
        <v>18040.127915000005</v>
      </c>
      <c r="T35" s="380">
        <f t="shared" si="8"/>
        <v>3940.9688570000035</v>
      </c>
    </row>
    <row r="36" spans="2:20" ht="12.75">
      <c r="B36" s="296"/>
      <c r="R36" s="216">
        <v>2003</v>
      </c>
      <c r="S36" s="380">
        <f t="shared" si="7"/>
        <v>18533.720860999994</v>
      </c>
      <c r="T36" s="380">
        <f t="shared" si="8"/>
        <v>4388.406613000003</v>
      </c>
    </row>
    <row r="37" spans="18:20" ht="12.75">
      <c r="R37" s="216">
        <v>2004</v>
      </c>
      <c r="S37" s="380">
        <f t="shared" si="7"/>
        <v>17525.338961000005</v>
      </c>
      <c r="T37" s="380">
        <f t="shared" si="8"/>
        <v>6740.446710000001</v>
      </c>
    </row>
    <row r="38" spans="18:20" ht="12.75">
      <c r="R38" s="216">
        <v>2005</v>
      </c>
      <c r="S38" s="380">
        <f t="shared" si="7"/>
        <v>17976.993336</v>
      </c>
      <c r="T38" s="380">
        <f t="shared" si="8"/>
        <v>7531.517079000003</v>
      </c>
    </row>
    <row r="39" spans="18:20" ht="12.75">
      <c r="R39" s="216">
        <v>2006</v>
      </c>
      <c r="S39" s="380">
        <f t="shared" si="7"/>
        <v>19594.347163999995</v>
      </c>
      <c r="T39" s="380">
        <f t="shared" si="8"/>
        <v>7774.255163580001</v>
      </c>
    </row>
    <row r="40" spans="18:20" ht="12.75">
      <c r="R40" s="250">
        <v>2007</v>
      </c>
      <c r="S40" s="380">
        <f t="shared" si="7"/>
        <v>19548.782020000002</v>
      </c>
      <c r="T40" s="380">
        <f t="shared" si="8"/>
        <v>10393.038722000001</v>
      </c>
    </row>
    <row r="41" spans="18:20" ht="12.75">
      <c r="R41" s="216">
        <v>2008</v>
      </c>
      <c r="S41" s="380">
        <f t="shared" si="7"/>
        <v>19059.617748999997</v>
      </c>
      <c r="T41" s="380">
        <f t="shared" si="8"/>
        <v>13402.262134</v>
      </c>
    </row>
    <row r="42" spans="18:20" ht="12.75">
      <c r="R42" s="216">
        <v>2009</v>
      </c>
      <c r="S42" s="380">
        <f t="shared" si="7"/>
        <v>19903.776404</v>
      </c>
      <c r="T42" s="380">
        <f t="shared" si="8"/>
        <v>13039.733016999999</v>
      </c>
    </row>
    <row r="43" spans="18:20" ht="12.75">
      <c r="R43" s="216">
        <v>2010</v>
      </c>
      <c r="S43" s="380">
        <f t="shared" si="7"/>
        <v>20052.1292802</v>
      </c>
      <c r="T43" s="380">
        <f t="shared" si="8"/>
        <v>15854.652261</v>
      </c>
    </row>
    <row r="44" spans="18:26" ht="12.75">
      <c r="R44" s="216">
        <v>2011</v>
      </c>
      <c r="S44" s="380">
        <f t="shared" si="7"/>
        <v>21557.32671678524</v>
      </c>
      <c r="T44" s="380">
        <f t="shared" si="8"/>
        <v>17247.908127223665</v>
      </c>
      <c r="W44" s="1060" t="s">
        <v>63</v>
      </c>
      <c r="X44" s="1061"/>
      <c r="Y44" s="1061"/>
      <c r="Z44" s="1062"/>
    </row>
    <row r="45" spans="18:26" ht="12.75">
      <c r="R45" s="216">
        <v>2012</v>
      </c>
      <c r="S45" s="380">
        <f aca="true" t="shared" si="9" ref="S45:U46">D25</f>
        <v>22031.93804599997</v>
      </c>
      <c r="T45" s="380">
        <f t="shared" si="9"/>
        <v>18943.135640407934</v>
      </c>
      <c r="U45" s="380">
        <f t="shared" si="9"/>
        <v>59.6829868</v>
      </c>
      <c r="W45" s="310"/>
      <c r="X45" s="309"/>
      <c r="Y45" s="309"/>
      <c r="Z45" s="309"/>
    </row>
    <row r="46" spans="18:26" ht="12.75">
      <c r="R46" s="216">
        <v>2013</v>
      </c>
      <c r="S46" s="380">
        <f t="shared" si="9"/>
        <v>22319.562549982984</v>
      </c>
      <c r="T46" s="380">
        <f t="shared" si="9"/>
        <v>20812.458660502365</v>
      </c>
      <c r="U46" s="380">
        <f t="shared" si="9"/>
        <v>196.92788000000002</v>
      </c>
      <c r="W46" s="307"/>
      <c r="X46" s="306"/>
      <c r="Y46" s="306"/>
      <c r="Z46" s="306"/>
    </row>
    <row r="47" spans="19:26" ht="12.75">
      <c r="S47" s="380"/>
      <c r="T47" s="380"/>
      <c r="W47" s="286" t="s">
        <v>3</v>
      </c>
      <c r="X47" s="297"/>
      <c r="Y47" s="297"/>
      <c r="Z47" s="298"/>
    </row>
    <row r="48" spans="19:26" ht="12.75">
      <c r="S48" s="380"/>
      <c r="T48" s="380"/>
      <c r="W48" s="300" t="s">
        <v>4</v>
      </c>
      <c r="X48" s="301"/>
      <c r="Y48" s="301"/>
      <c r="Z48" s="302"/>
    </row>
    <row r="49" spans="23:26" ht="12.75">
      <c r="W49" s="303" t="s">
        <v>5</v>
      </c>
      <c r="X49" s="304"/>
      <c r="Y49" s="304"/>
      <c r="Z49" s="305"/>
    </row>
    <row r="50" ht="12.75">
      <c r="S50" s="216" t="s">
        <v>92</v>
      </c>
    </row>
    <row r="51" spans="19:21" ht="12.75">
      <c r="S51" s="216" t="s">
        <v>4</v>
      </c>
      <c r="T51" s="216" t="s">
        <v>5</v>
      </c>
      <c r="U51" s="216" t="s">
        <v>61</v>
      </c>
    </row>
    <row r="52" spans="18:22" ht="12.75">
      <c r="R52" s="216">
        <v>1995</v>
      </c>
      <c r="S52" s="380">
        <f aca="true" t="shared" si="10" ref="S52:S68">I8</f>
        <v>11540.590328999999</v>
      </c>
      <c r="T52" s="380">
        <f aca="true" t="shared" si="11" ref="T52:T68">J8</f>
        <v>1565.722768</v>
      </c>
      <c r="U52" s="595" t="s">
        <v>91</v>
      </c>
      <c r="V52" s="595"/>
    </row>
    <row r="53" spans="18:22" ht="12.75">
      <c r="R53" s="216">
        <v>1996</v>
      </c>
      <c r="S53" s="380">
        <f t="shared" si="10"/>
        <v>11847.925377</v>
      </c>
      <c r="T53" s="380">
        <f t="shared" si="11"/>
        <v>1459.2416440000002</v>
      </c>
      <c r="U53" s="595" t="s">
        <v>91</v>
      </c>
      <c r="V53" s="595"/>
    </row>
    <row r="54" spans="18:22" ht="12.75">
      <c r="R54" s="216">
        <v>1997</v>
      </c>
      <c r="S54" s="380">
        <f t="shared" si="10"/>
        <v>12264.791790000001</v>
      </c>
      <c r="T54" s="380">
        <f t="shared" si="11"/>
        <v>3083.209430000001</v>
      </c>
      <c r="U54" s="595" t="s">
        <v>91</v>
      </c>
      <c r="V54" s="595"/>
    </row>
    <row r="55" spans="18:22" ht="12.75">
      <c r="R55" s="216">
        <v>1998</v>
      </c>
      <c r="S55" s="380">
        <f t="shared" si="10"/>
        <v>13367.193777000002</v>
      </c>
      <c r="T55" s="380">
        <f t="shared" si="11"/>
        <v>3448.21663</v>
      </c>
      <c r="U55" s="595" t="s">
        <v>91</v>
      </c>
      <c r="V55" s="595"/>
    </row>
    <row r="56" spans="18:22" ht="12.75">
      <c r="R56" s="216">
        <v>1999</v>
      </c>
      <c r="S56" s="380">
        <f t="shared" si="10"/>
        <v>14110.592026</v>
      </c>
      <c r="T56" s="380">
        <f t="shared" si="11"/>
        <v>3255.005272</v>
      </c>
      <c r="U56" s="595" t="s">
        <v>91</v>
      </c>
      <c r="V56" s="595"/>
    </row>
    <row r="57" spans="18:22" ht="12.75">
      <c r="R57" s="216">
        <v>2000</v>
      </c>
      <c r="S57" s="380">
        <f t="shared" si="10"/>
        <v>15747.323264999999</v>
      </c>
      <c r="T57" s="380">
        <f t="shared" si="11"/>
        <v>2579.7287539999998</v>
      </c>
      <c r="U57" s="595" t="s">
        <v>91</v>
      </c>
      <c r="V57" s="595"/>
    </row>
    <row r="58" spans="18:22" ht="12.75">
      <c r="R58" s="216">
        <v>2001</v>
      </c>
      <c r="S58" s="380">
        <f t="shared" si="10"/>
        <v>17188.330774</v>
      </c>
      <c r="T58" s="380">
        <f t="shared" si="11"/>
        <v>2024.9494680000003</v>
      </c>
      <c r="U58" s="595" t="s">
        <v>91</v>
      </c>
      <c r="V58" s="595"/>
    </row>
    <row r="59" spans="18:22" ht="12.75">
      <c r="R59" s="216">
        <v>2002</v>
      </c>
      <c r="S59" s="380">
        <f t="shared" si="10"/>
        <v>17638.158238000004</v>
      </c>
      <c r="T59" s="380">
        <f t="shared" si="11"/>
        <v>2780.1240350000003</v>
      </c>
      <c r="U59" s="595" t="s">
        <v>91</v>
      </c>
      <c r="V59" s="595"/>
    </row>
    <row r="60" spans="18:22" ht="12.75">
      <c r="R60" s="216">
        <v>2003</v>
      </c>
      <c r="S60" s="380">
        <f t="shared" si="10"/>
        <v>18118.333137999995</v>
      </c>
      <c r="T60" s="380">
        <f t="shared" si="11"/>
        <v>3241.9033919999997</v>
      </c>
      <c r="U60" s="595" t="s">
        <v>91</v>
      </c>
      <c r="V60" s="595"/>
    </row>
    <row r="61" spans="18:22" ht="12.75">
      <c r="R61" s="216">
        <v>2004</v>
      </c>
      <c r="S61" s="380">
        <f t="shared" si="10"/>
        <v>17100.664633000004</v>
      </c>
      <c r="T61" s="380">
        <f t="shared" si="11"/>
        <v>5518.047758000001</v>
      </c>
      <c r="U61" s="595" t="s">
        <v>91</v>
      </c>
      <c r="V61" s="595"/>
    </row>
    <row r="62" spans="18:22" ht="12.75">
      <c r="R62" s="216">
        <v>2005</v>
      </c>
      <c r="S62" s="380">
        <f t="shared" si="10"/>
        <v>17567.10537779275</v>
      </c>
      <c r="T62" s="380">
        <f t="shared" si="11"/>
        <v>6242.543167</v>
      </c>
      <c r="U62" s="595" t="s">
        <v>91</v>
      </c>
      <c r="V62" s="595"/>
    </row>
    <row r="63" spans="18:22" ht="12.75">
      <c r="R63" s="216">
        <v>2006</v>
      </c>
      <c r="S63" s="380">
        <f t="shared" si="10"/>
        <v>19160.75164295858</v>
      </c>
      <c r="T63" s="380">
        <f t="shared" si="11"/>
        <v>6451.785747000001</v>
      </c>
      <c r="U63" s="595" t="s">
        <v>91</v>
      </c>
      <c r="V63" s="595"/>
    </row>
    <row r="64" spans="18:22" ht="12.75">
      <c r="R64" s="250">
        <v>2007</v>
      </c>
      <c r="S64" s="380">
        <f t="shared" si="10"/>
        <v>19107.19396634</v>
      </c>
      <c r="T64" s="380">
        <f t="shared" si="11"/>
        <v>9092.070724000001</v>
      </c>
      <c r="U64" s="595" t="s">
        <v>91</v>
      </c>
      <c r="V64" s="595"/>
    </row>
    <row r="65" spans="18:22" ht="12.75">
      <c r="R65" s="216">
        <v>2008</v>
      </c>
      <c r="S65" s="380">
        <f t="shared" si="10"/>
        <v>18607.792106999997</v>
      </c>
      <c r="T65" s="380">
        <f t="shared" si="11"/>
        <v>11965.692749000002</v>
      </c>
      <c r="U65" s="595" t="s">
        <v>91</v>
      </c>
      <c r="V65" s="595"/>
    </row>
    <row r="66" spans="18:22" ht="12.75">
      <c r="R66" s="216">
        <v>2009</v>
      </c>
      <c r="S66" s="380">
        <f t="shared" si="10"/>
        <v>19419.221612</v>
      </c>
      <c r="T66" s="380">
        <f t="shared" si="11"/>
        <v>11501.454770999999</v>
      </c>
      <c r="U66" s="595" t="s">
        <v>91</v>
      </c>
      <c r="V66" s="595"/>
    </row>
    <row r="67" spans="18:22" ht="12.75">
      <c r="R67" s="216">
        <v>2010</v>
      </c>
      <c r="S67" s="380">
        <f t="shared" si="10"/>
        <v>19567.4046092</v>
      </c>
      <c r="T67" s="380">
        <f t="shared" si="11"/>
        <v>13977.184797999998</v>
      </c>
      <c r="U67" s="595" t="s">
        <v>91</v>
      </c>
      <c r="V67" s="595"/>
    </row>
    <row r="68" spans="18:22" ht="12.75">
      <c r="R68" s="216">
        <v>2011</v>
      </c>
      <c r="S68" s="380">
        <f t="shared" si="10"/>
        <v>21027.41840423524</v>
      </c>
      <c r="T68" s="380">
        <f t="shared" si="11"/>
        <v>15219.887485999994</v>
      </c>
      <c r="U68" s="595" t="s">
        <v>91</v>
      </c>
      <c r="V68" s="595"/>
    </row>
    <row r="69" spans="18:22" ht="12.75">
      <c r="R69" s="216">
        <v>2012</v>
      </c>
      <c r="S69" s="380">
        <f>I25</f>
        <v>21490.80766299997</v>
      </c>
      <c r="T69" s="380">
        <f>J25</f>
        <v>16809.312290999987</v>
      </c>
      <c r="U69" s="435">
        <f>F25</f>
        <v>59.6829868</v>
      </c>
      <c r="V69" s="435"/>
    </row>
    <row r="70" spans="18:22" ht="12.75">
      <c r="R70" s="216">
        <v>2013</v>
      </c>
      <c r="S70" s="380">
        <f>I26</f>
        <v>21709.384683427117</v>
      </c>
      <c r="T70" s="380">
        <f>J26</f>
        <v>18757.127455751826</v>
      </c>
      <c r="U70" s="435">
        <f>F26</f>
        <v>196.92788000000002</v>
      </c>
      <c r="V70" s="435"/>
    </row>
    <row r="73" ht="12.75">
      <c r="S73" s="216" t="s">
        <v>93</v>
      </c>
    </row>
    <row r="74" spans="19:20" ht="12.75">
      <c r="S74" s="216" t="s">
        <v>4</v>
      </c>
      <c r="T74" s="216" t="s">
        <v>5</v>
      </c>
    </row>
    <row r="75" spans="18:20" ht="12.75">
      <c r="R75" s="216">
        <v>1995</v>
      </c>
      <c r="S75" s="380">
        <f aca="true" t="shared" si="12" ref="S75:S91">N8</f>
        <v>1396.9631319999999</v>
      </c>
      <c r="T75" s="380">
        <f aca="true" t="shared" si="13" ref="T75:T91">O8</f>
        <v>2376.838372</v>
      </c>
    </row>
    <row r="76" spans="18:20" ht="12.75">
      <c r="R76" s="216">
        <v>1996</v>
      </c>
      <c r="S76" s="380">
        <f t="shared" si="12"/>
        <v>1475.6467010000001</v>
      </c>
      <c r="T76" s="380">
        <f t="shared" si="13"/>
        <v>2496.5885710000002</v>
      </c>
    </row>
    <row r="77" spans="18:20" ht="12.75">
      <c r="R77" s="216">
        <v>1997</v>
      </c>
      <c r="S77" s="380">
        <f t="shared" si="12"/>
        <v>949.7376919999999</v>
      </c>
      <c r="T77" s="380">
        <f t="shared" si="13"/>
        <v>1655.113007</v>
      </c>
    </row>
    <row r="78" spans="18:20" ht="12.75">
      <c r="R78" s="216">
        <v>1998</v>
      </c>
      <c r="S78" s="380">
        <f t="shared" si="12"/>
        <v>441.091361</v>
      </c>
      <c r="T78" s="380">
        <f t="shared" si="13"/>
        <v>1325.5106380000002</v>
      </c>
    </row>
    <row r="79" spans="18:20" ht="12.75">
      <c r="R79" s="216">
        <v>1999</v>
      </c>
      <c r="S79" s="380">
        <f t="shared" si="12"/>
        <v>429.98925900000006</v>
      </c>
      <c r="T79" s="380">
        <f t="shared" si="13"/>
        <v>1253.40626</v>
      </c>
    </row>
    <row r="80" spans="18:20" ht="12.75">
      <c r="R80" s="216">
        <v>2000</v>
      </c>
      <c r="S80" s="380">
        <f t="shared" si="12"/>
        <v>428.728101</v>
      </c>
      <c r="T80" s="380">
        <f t="shared" si="13"/>
        <v>1166.0715179999995</v>
      </c>
    </row>
    <row r="81" spans="18:20" ht="12.75">
      <c r="R81" s="216">
        <v>2001</v>
      </c>
      <c r="S81" s="380">
        <f t="shared" si="12"/>
        <v>426.42942600000003</v>
      </c>
      <c r="T81" s="380">
        <f t="shared" si="13"/>
        <v>1144.7894669999996</v>
      </c>
    </row>
    <row r="82" spans="18:20" ht="12.75">
      <c r="R82" s="216">
        <v>2002</v>
      </c>
      <c r="S82" s="380">
        <f t="shared" si="12"/>
        <v>401.9696770000001</v>
      </c>
      <c r="T82" s="380">
        <f t="shared" si="13"/>
        <v>1160.8448220000034</v>
      </c>
    </row>
    <row r="83" spans="18:20" ht="12.75">
      <c r="R83" s="216">
        <v>2003</v>
      </c>
      <c r="S83" s="380">
        <f t="shared" si="12"/>
        <v>415.38772300000005</v>
      </c>
      <c r="T83" s="380">
        <f t="shared" si="13"/>
        <v>1146.5032210000034</v>
      </c>
    </row>
    <row r="84" spans="18:20" ht="12.75">
      <c r="R84" s="216">
        <v>2004</v>
      </c>
      <c r="S84" s="380">
        <f t="shared" si="12"/>
        <v>424.674328</v>
      </c>
      <c r="T84" s="380">
        <f t="shared" si="13"/>
        <v>1222.3989520000002</v>
      </c>
    </row>
    <row r="85" spans="18:20" ht="12.75">
      <c r="R85" s="216">
        <v>2005</v>
      </c>
      <c r="S85" s="380">
        <f t="shared" si="12"/>
        <v>409.88795820724977</v>
      </c>
      <c r="T85" s="380">
        <f t="shared" si="13"/>
        <v>1288.9739120000033</v>
      </c>
    </row>
    <row r="86" spans="18:20" ht="12.75">
      <c r="R86" s="216">
        <v>2006</v>
      </c>
      <c r="S86" s="380">
        <f t="shared" si="12"/>
        <v>433.59552104141386</v>
      </c>
      <c r="T86" s="380">
        <f t="shared" si="13"/>
        <v>1322.4694165800001</v>
      </c>
    </row>
    <row r="87" spans="18:20" ht="12.75">
      <c r="R87" s="250">
        <v>2007</v>
      </c>
      <c r="S87" s="380">
        <f t="shared" si="12"/>
        <v>441.58805366</v>
      </c>
      <c r="T87" s="380">
        <f t="shared" si="13"/>
        <v>1300.9679980000003</v>
      </c>
    </row>
    <row r="88" spans="18:20" ht="12.75">
      <c r="R88" s="216">
        <v>2008</v>
      </c>
      <c r="S88" s="380">
        <f t="shared" si="12"/>
        <v>451.825642</v>
      </c>
      <c r="T88" s="380">
        <f t="shared" si="13"/>
        <v>1436.5693849999998</v>
      </c>
    </row>
    <row r="89" spans="18:20" ht="12.75">
      <c r="R89" s="216">
        <v>2009</v>
      </c>
      <c r="S89" s="380">
        <f t="shared" si="12"/>
        <v>484.5547920000001</v>
      </c>
      <c r="T89" s="380">
        <f t="shared" si="13"/>
        <v>1538.278246</v>
      </c>
    </row>
    <row r="90" spans="18:20" ht="12.75">
      <c r="R90" s="216">
        <v>2010</v>
      </c>
      <c r="S90" s="380">
        <f t="shared" si="12"/>
        <v>484.72467099999994</v>
      </c>
      <c r="T90" s="380">
        <f t="shared" si="13"/>
        <v>1877.467463</v>
      </c>
    </row>
    <row r="91" spans="18:20" ht="12.75">
      <c r="R91" s="216">
        <v>2011</v>
      </c>
      <c r="S91" s="380">
        <f t="shared" si="12"/>
        <v>529.9083125500001</v>
      </c>
      <c r="T91" s="380">
        <f t="shared" si="13"/>
        <v>2028.0206412236719</v>
      </c>
    </row>
    <row r="92" spans="18:20" ht="12.75">
      <c r="R92" s="216">
        <v>2012</v>
      </c>
      <c r="S92" s="380">
        <f>N25</f>
        <v>541.130383</v>
      </c>
      <c r="T92" s="380">
        <f>O25</f>
        <v>2133.8233494079454</v>
      </c>
    </row>
    <row r="93" spans="18:20" ht="12.75">
      <c r="R93" s="216">
        <v>2013</v>
      </c>
      <c r="S93" s="380">
        <f>N26</f>
        <v>610.1778665558659</v>
      </c>
      <c r="T93" s="380">
        <f>O26</f>
        <v>2055.3312047505406</v>
      </c>
    </row>
  </sheetData>
  <sheetProtection/>
  <mergeCells count="1">
    <mergeCell ref="W44:Z44"/>
  </mergeCells>
  <printOptions horizontalCentered="1" verticalCentered="1"/>
  <pageMargins left="0.97" right="0.5905511811023623" top="1.29" bottom="1.46" header="0" footer="0"/>
  <pageSetup fitToHeight="1" fitToWidth="1" horizontalDpi="600" verticalDpi="600" orientation="portrait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="85" zoomScaleNormal="75" zoomScaleSheetLayoutView="85" zoomScalePageLayoutView="0" workbookViewId="0" topLeftCell="A1">
      <selection activeCell="L41" sqref="L41"/>
    </sheetView>
  </sheetViews>
  <sheetFormatPr defaultColWidth="11.421875" defaultRowHeight="12.75"/>
  <cols>
    <col min="1" max="1" width="4.7109375" style="0" customWidth="1"/>
    <col min="2" max="2" width="23.421875" style="0" customWidth="1"/>
    <col min="3" max="4" width="15.00390625" style="0" customWidth="1"/>
    <col min="5" max="5" width="13.28125" style="0" customWidth="1"/>
    <col min="6" max="6" width="12.7109375" style="0" customWidth="1"/>
    <col min="7" max="7" width="14.00390625" style="0" customWidth="1"/>
    <col min="8" max="8" width="11.00390625" style="0" customWidth="1"/>
    <col min="10" max="10" width="13.7109375" style="0" customWidth="1"/>
    <col min="11" max="11" width="11.57421875" style="0" bestFit="1" customWidth="1"/>
    <col min="12" max="12" width="12.7109375" style="0" bestFit="1" customWidth="1"/>
    <col min="13" max="13" width="12.7109375" style="0" customWidth="1"/>
    <col min="14" max="17" width="11.57421875" style="0" bestFit="1" customWidth="1"/>
  </cols>
  <sheetData>
    <row r="1" ht="20.25">
      <c r="B1" s="1190"/>
    </row>
    <row r="3" spans="1:8" ht="18">
      <c r="A3" s="9" t="s">
        <v>308</v>
      </c>
      <c r="C3" s="1"/>
      <c r="D3" s="1"/>
      <c r="E3" s="1"/>
      <c r="F3" s="1"/>
      <c r="G3" s="1"/>
      <c r="H3" s="1"/>
    </row>
    <row r="5" ht="12.75">
      <c r="B5" s="1191"/>
    </row>
    <row r="7" spans="2:8" ht="15">
      <c r="B7" s="1192" t="s">
        <v>18</v>
      </c>
      <c r="C7" s="1193" t="s">
        <v>309</v>
      </c>
      <c r="D7" s="1194"/>
      <c r="E7" s="1194"/>
      <c r="F7" s="1194"/>
      <c r="G7" s="1194"/>
      <c r="H7" s="1194"/>
    </row>
    <row r="8" spans="2:17" ht="15">
      <c r="B8" s="1195"/>
      <c r="C8" s="1193" t="s">
        <v>310</v>
      </c>
      <c r="D8" s="1194"/>
      <c r="E8" s="1194"/>
      <c r="F8" s="1194"/>
      <c r="G8" s="1194"/>
      <c r="H8" s="1194"/>
      <c r="L8" s="1196" t="s">
        <v>310</v>
      </c>
      <c r="M8" s="1197"/>
      <c r="N8" s="1197"/>
      <c r="O8" s="1197"/>
      <c r="P8" s="1197"/>
      <c r="Q8" s="1198"/>
    </row>
    <row r="9" spans="2:17" ht="15.75" thickBot="1">
      <c r="B9" s="1199"/>
      <c r="C9" s="1200" t="s">
        <v>0</v>
      </c>
      <c r="D9" s="1201">
        <v>500</v>
      </c>
      <c r="E9" s="1202">
        <v>220</v>
      </c>
      <c r="F9" s="1203">
        <v>138</v>
      </c>
      <c r="G9" s="1203" t="s">
        <v>311</v>
      </c>
      <c r="H9" s="1203" t="s">
        <v>312</v>
      </c>
      <c r="L9" s="1204" t="s">
        <v>0</v>
      </c>
      <c r="M9" s="1205">
        <v>500</v>
      </c>
      <c r="N9" s="1205">
        <v>220</v>
      </c>
      <c r="O9" s="1206">
        <v>138</v>
      </c>
      <c r="P9" s="1207" t="s">
        <v>313</v>
      </c>
      <c r="Q9" s="1205" t="s">
        <v>312</v>
      </c>
    </row>
    <row r="10" spans="2:17" ht="15">
      <c r="B10" s="1208">
        <v>1995</v>
      </c>
      <c r="C10" s="1209">
        <f>SUM(E10:H10)</f>
        <v>9131.536</v>
      </c>
      <c r="D10" s="1210"/>
      <c r="E10" s="1211">
        <v>3129.692</v>
      </c>
      <c r="F10" s="1212">
        <v>1872.9719999999998</v>
      </c>
      <c r="G10" s="1212">
        <v>3030.632</v>
      </c>
      <c r="H10" s="1213">
        <v>1098.24</v>
      </c>
      <c r="I10" s="7"/>
      <c r="K10">
        <f aca="true" t="shared" si="0" ref="K10:K25">+B10</f>
        <v>1995</v>
      </c>
      <c r="L10" s="1214">
        <f>SUM(N10:Q10)</f>
        <v>9131.536</v>
      </c>
      <c r="M10" s="1215"/>
      <c r="N10" s="1216">
        <f>+E10</f>
        <v>3129.692</v>
      </c>
      <c r="O10" s="1216">
        <f>+F10</f>
        <v>1872.9719999999998</v>
      </c>
      <c r="P10" s="1216">
        <f>+G10</f>
        <v>3030.632</v>
      </c>
      <c r="Q10" s="1216">
        <f>+H10</f>
        <v>1098.24</v>
      </c>
    </row>
    <row r="11" spans="2:17" ht="15">
      <c r="B11" s="1217">
        <v>1996</v>
      </c>
      <c r="C11" s="1218">
        <f aca="true" t="shared" si="1" ref="C11:C25">SUM(E11:H11)</f>
        <v>9410.073</v>
      </c>
      <c r="D11" s="1219"/>
      <c r="E11" s="1220">
        <v>3129.692</v>
      </c>
      <c r="F11" s="1221">
        <v>1872.9719999999998</v>
      </c>
      <c r="G11" s="1221">
        <v>3277.7189999999996</v>
      </c>
      <c r="H11" s="1222">
        <v>1129.69</v>
      </c>
      <c r="I11" s="7"/>
      <c r="K11">
        <f t="shared" si="0"/>
        <v>1996</v>
      </c>
      <c r="L11" s="1223">
        <f aca="true" t="shared" si="2" ref="L11:L22">SUM(N11:Q11)</f>
        <v>9410.073</v>
      </c>
      <c r="M11" s="1224"/>
      <c r="N11" s="1216">
        <f aca="true" t="shared" si="3" ref="N11:Q26">+E11</f>
        <v>3129.692</v>
      </c>
      <c r="O11" s="1216">
        <f t="shared" si="3"/>
        <v>1872.9719999999998</v>
      </c>
      <c r="P11" s="1216">
        <f t="shared" si="3"/>
        <v>3277.7189999999996</v>
      </c>
      <c r="Q11" s="1216">
        <f t="shared" si="3"/>
        <v>1129.69</v>
      </c>
    </row>
    <row r="12" spans="2:17" ht="15">
      <c r="B12" s="1217">
        <v>1997</v>
      </c>
      <c r="C12" s="1218">
        <f t="shared" si="1"/>
        <v>10824.466</v>
      </c>
      <c r="D12" s="1219"/>
      <c r="E12" s="1220">
        <v>3625.496</v>
      </c>
      <c r="F12" s="1221">
        <v>2240.8330000000005</v>
      </c>
      <c r="G12" s="1221">
        <v>3629.138999999999</v>
      </c>
      <c r="H12" s="1222">
        <v>1328.998</v>
      </c>
      <c r="I12" s="7"/>
      <c r="K12">
        <f t="shared" si="0"/>
        <v>1997</v>
      </c>
      <c r="L12" s="1223">
        <f t="shared" si="2"/>
        <v>10824.466</v>
      </c>
      <c r="M12" s="1224"/>
      <c r="N12" s="1216">
        <f t="shared" si="3"/>
        <v>3625.496</v>
      </c>
      <c r="O12" s="1216">
        <f t="shared" si="3"/>
        <v>2240.8330000000005</v>
      </c>
      <c r="P12" s="1216">
        <f t="shared" si="3"/>
        <v>3629.138999999999</v>
      </c>
      <c r="Q12" s="1216">
        <f t="shared" si="3"/>
        <v>1328.998</v>
      </c>
    </row>
    <row r="13" spans="2:17" ht="15">
      <c r="B13" s="1217">
        <v>1998</v>
      </c>
      <c r="C13" s="1218">
        <f t="shared" si="1"/>
        <v>11328.207999999999</v>
      </c>
      <c r="D13" s="1219"/>
      <c r="E13" s="1220">
        <v>3625.496</v>
      </c>
      <c r="F13" s="1221">
        <v>2410.533</v>
      </c>
      <c r="G13" s="1221">
        <v>3894.522999999999</v>
      </c>
      <c r="H13" s="1222">
        <v>1397.656</v>
      </c>
      <c r="I13" s="7"/>
      <c r="K13">
        <f t="shared" si="0"/>
        <v>1998</v>
      </c>
      <c r="L13" s="1223">
        <f t="shared" si="2"/>
        <v>11328.207999999999</v>
      </c>
      <c r="M13" s="1224"/>
      <c r="N13" s="1216">
        <f t="shared" si="3"/>
        <v>3625.496</v>
      </c>
      <c r="O13" s="1216">
        <f t="shared" si="3"/>
        <v>2410.533</v>
      </c>
      <c r="P13" s="1216">
        <f t="shared" si="3"/>
        <v>3894.522999999999</v>
      </c>
      <c r="Q13" s="1216">
        <f t="shared" si="3"/>
        <v>1397.656</v>
      </c>
    </row>
    <row r="14" spans="2:17" ht="15">
      <c r="B14" s="1217">
        <v>1999</v>
      </c>
      <c r="C14" s="1218">
        <f t="shared" si="1"/>
        <v>12527.669999999998</v>
      </c>
      <c r="D14" s="1219"/>
      <c r="E14" s="1220">
        <v>3996.306</v>
      </c>
      <c r="F14" s="1221">
        <v>2920.413</v>
      </c>
      <c r="G14" s="1221">
        <v>4189.570999999999</v>
      </c>
      <c r="H14" s="1222">
        <v>1421.38</v>
      </c>
      <c r="I14" s="7"/>
      <c r="K14">
        <f t="shared" si="0"/>
        <v>1999</v>
      </c>
      <c r="L14" s="1223">
        <f t="shared" si="2"/>
        <v>12527.669999999998</v>
      </c>
      <c r="M14" s="1224"/>
      <c r="N14" s="1216">
        <f t="shared" si="3"/>
        <v>3996.306</v>
      </c>
      <c r="O14" s="1216">
        <f t="shared" si="3"/>
        <v>2920.413</v>
      </c>
      <c r="P14" s="1216">
        <f t="shared" si="3"/>
        <v>4189.570999999999</v>
      </c>
      <c r="Q14" s="1216">
        <f t="shared" si="3"/>
        <v>1421.38</v>
      </c>
    </row>
    <row r="15" spans="2:17" ht="15">
      <c r="B15" s="1217">
        <v>2000</v>
      </c>
      <c r="C15" s="1218">
        <f t="shared" si="1"/>
        <v>13656.000090000001</v>
      </c>
      <c r="D15" s="1219"/>
      <c r="E15" s="1220">
        <v>4860.06609</v>
      </c>
      <c r="F15" s="1221">
        <v>3135.153</v>
      </c>
      <c r="G15" s="1221">
        <v>4213.37</v>
      </c>
      <c r="H15" s="1222">
        <v>1447.4109999999998</v>
      </c>
      <c r="I15" s="7"/>
      <c r="K15">
        <f t="shared" si="0"/>
        <v>2000</v>
      </c>
      <c r="L15" s="1223">
        <f t="shared" si="2"/>
        <v>13656.000090000001</v>
      </c>
      <c r="M15" s="1224"/>
      <c r="N15" s="1216">
        <f t="shared" si="3"/>
        <v>4860.06609</v>
      </c>
      <c r="O15" s="1216">
        <f t="shared" si="3"/>
        <v>3135.153</v>
      </c>
      <c r="P15" s="1216">
        <f t="shared" si="3"/>
        <v>4213.37</v>
      </c>
      <c r="Q15" s="1216">
        <f t="shared" si="3"/>
        <v>1447.4109999999998</v>
      </c>
    </row>
    <row r="16" spans="2:17" ht="15">
      <c r="B16" s="1217">
        <v>2001</v>
      </c>
      <c r="C16" s="1218">
        <f t="shared" si="1"/>
        <v>14260.63609</v>
      </c>
      <c r="D16" s="1219"/>
      <c r="E16" s="1220">
        <v>5318.10309</v>
      </c>
      <c r="F16" s="1221">
        <v>3183.004</v>
      </c>
      <c r="G16" s="1221">
        <v>4309.589</v>
      </c>
      <c r="H16" s="1222">
        <v>1449.94</v>
      </c>
      <c r="I16" s="7"/>
      <c r="K16">
        <f t="shared" si="0"/>
        <v>2001</v>
      </c>
      <c r="L16" s="1223">
        <f t="shared" si="2"/>
        <v>14260.63609</v>
      </c>
      <c r="M16" s="1224"/>
      <c r="N16" s="1216">
        <f t="shared" si="3"/>
        <v>5318.10309</v>
      </c>
      <c r="O16" s="1216">
        <f t="shared" si="3"/>
        <v>3183.004</v>
      </c>
      <c r="P16" s="1216">
        <f t="shared" si="3"/>
        <v>4309.589</v>
      </c>
      <c r="Q16" s="1216">
        <f t="shared" si="3"/>
        <v>1449.94</v>
      </c>
    </row>
    <row r="17" spans="2:17" ht="15">
      <c r="B17" s="1217">
        <v>2002</v>
      </c>
      <c r="C17" s="1218">
        <f t="shared" si="1"/>
        <v>14678.77509</v>
      </c>
      <c r="D17" s="1219"/>
      <c r="E17" s="1220">
        <v>5558.67709</v>
      </c>
      <c r="F17" s="1221">
        <v>3331.1639999999998</v>
      </c>
      <c r="G17" s="1221">
        <v>4334.589</v>
      </c>
      <c r="H17" s="1222">
        <v>1454.345</v>
      </c>
      <c r="I17" s="7"/>
      <c r="K17">
        <f t="shared" si="0"/>
        <v>2002</v>
      </c>
      <c r="L17" s="1223">
        <f t="shared" si="2"/>
        <v>14678.77509</v>
      </c>
      <c r="M17" s="1224"/>
      <c r="N17" s="1216">
        <f t="shared" si="3"/>
        <v>5558.67709</v>
      </c>
      <c r="O17" s="1216">
        <f t="shared" si="3"/>
        <v>3331.1639999999998</v>
      </c>
      <c r="P17" s="1216">
        <f t="shared" si="3"/>
        <v>4334.589</v>
      </c>
      <c r="Q17" s="1216">
        <f t="shared" si="3"/>
        <v>1454.345</v>
      </c>
    </row>
    <row r="18" spans="2:17" ht="15">
      <c r="B18" s="1217">
        <v>2003</v>
      </c>
      <c r="C18" s="1218">
        <f>SUM(E18:H18)</f>
        <v>14692.997089999999</v>
      </c>
      <c r="D18" s="1219"/>
      <c r="E18" s="1220">
        <v>5558.67709</v>
      </c>
      <c r="F18" s="1221">
        <v>3338.1639999999998</v>
      </c>
      <c r="G18" s="1221">
        <v>4335.311</v>
      </c>
      <c r="H18" s="1222">
        <v>1460.845</v>
      </c>
      <c r="I18" s="7"/>
      <c r="K18">
        <f t="shared" si="0"/>
        <v>2003</v>
      </c>
      <c r="L18" s="1223">
        <f t="shared" si="2"/>
        <v>14692.997089999999</v>
      </c>
      <c r="M18" s="1224"/>
      <c r="N18" s="1216">
        <f t="shared" si="3"/>
        <v>5558.67709</v>
      </c>
      <c r="O18" s="1216">
        <f t="shared" si="3"/>
        <v>3338.1639999999998</v>
      </c>
      <c r="P18" s="1216">
        <f t="shared" si="3"/>
        <v>4335.311</v>
      </c>
      <c r="Q18" s="1216">
        <f t="shared" si="3"/>
        <v>1460.845</v>
      </c>
    </row>
    <row r="19" spans="2:17" ht="15">
      <c r="B19" s="1217">
        <v>2004</v>
      </c>
      <c r="C19" s="1218">
        <f t="shared" si="1"/>
        <v>14856.66409</v>
      </c>
      <c r="D19" s="1219"/>
      <c r="E19" s="1220">
        <v>5613.97709</v>
      </c>
      <c r="F19" s="1221">
        <v>3337.61</v>
      </c>
      <c r="G19" s="1221">
        <v>4335.311</v>
      </c>
      <c r="H19" s="1222">
        <v>1569.7659999999996</v>
      </c>
      <c r="I19" s="7"/>
      <c r="K19">
        <f t="shared" si="0"/>
        <v>2004</v>
      </c>
      <c r="L19" s="1223">
        <f t="shared" si="2"/>
        <v>14856.66409</v>
      </c>
      <c r="M19" s="1224"/>
      <c r="N19" s="1216">
        <f t="shared" si="3"/>
        <v>5613.97709</v>
      </c>
      <c r="O19" s="1216">
        <f t="shared" si="3"/>
        <v>3337.61</v>
      </c>
      <c r="P19" s="1216">
        <f t="shared" si="3"/>
        <v>4335.311</v>
      </c>
      <c r="Q19" s="1216">
        <f t="shared" si="3"/>
        <v>1569.7659999999996</v>
      </c>
    </row>
    <row r="20" spans="2:17" ht="15">
      <c r="B20" s="1217">
        <v>2005</v>
      </c>
      <c r="C20" s="1218">
        <f t="shared" si="1"/>
        <v>15271.97709</v>
      </c>
      <c r="D20" s="1219"/>
      <c r="E20" s="1220">
        <v>5613.97709</v>
      </c>
      <c r="F20" s="1221">
        <v>3435</v>
      </c>
      <c r="G20" s="1221">
        <v>4678</v>
      </c>
      <c r="H20" s="1222">
        <v>1545</v>
      </c>
      <c r="I20" s="7"/>
      <c r="K20">
        <f t="shared" si="0"/>
        <v>2005</v>
      </c>
      <c r="L20" s="1223">
        <f t="shared" si="2"/>
        <v>15271.97709</v>
      </c>
      <c r="M20" s="1224"/>
      <c r="N20" s="1216">
        <f t="shared" si="3"/>
        <v>5613.97709</v>
      </c>
      <c r="O20" s="1216">
        <f t="shared" si="3"/>
        <v>3435</v>
      </c>
      <c r="P20" s="1216">
        <f t="shared" si="3"/>
        <v>4678</v>
      </c>
      <c r="Q20" s="1216">
        <f t="shared" si="3"/>
        <v>1545</v>
      </c>
    </row>
    <row r="21" spans="2:17" ht="15">
      <c r="B21" s="1217">
        <v>2006</v>
      </c>
      <c r="C21" s="1218">
        <f t="shared" si="1"/>
        <v>15688.071089999998</v>
      </c>
      <c r="D21" s="1219"/>
      <c r="E21" s="1225">
        <v>5664.087089999999</v>
      </c>
      <c r="F21" s="1221">
        <v>3636.3779999999997</v>
      </c>
      <c r="G21" s="1221">
        <v>4841.857999999999</v>
      </c>
      <c r="H21" s="1222">
        <v>1545.7479999999998</v>
      </c>
      <c r="I21" s="7"/>
      <c r="K21">
        <f t="shared" si="0"/>
        <v>2006</v>
      </c>
      <c r="L21" s="1223">
        <f t="shared" si="2"/>
        <v>15688.071089999998</v>
      </c>
      <c r="M21" s="1224"/>
      <c r="N21" s="1216">
        <f t="shared" si="3"/>
        <v>5664.087089999999</v>
      </c>
      <c r="O21" s="1216">
        <f t="shared" si="3"/>
        <v>3636.3779999999997</v>
      </c>
      <c r="P21" s="1216">
        <f t="shared" si="3"/>
        <v>4841.857999999999</v>
      </c>
      <c r="Q21" s="1216">
        <f t="shared" si="3"/>
        <v>1545.7479999999998</v>
      </c>
    </row>
    <row r="22" spans="2:17" ht="15">
      <c r="B22" s="1217">
        <v>2007</v>
      </c>
      <c r="C22" s="1218">
        <f t="shared" si="1"/>
        <v>15711.891089999997</v>
      </c>
      <c r="D22" s="1219"/>
      <c r="E22" s="1225">
        <v>5676.9770899999985</v>
      </c>
      <c r="F22" s="1221">
        <v>3636.3779999999997</v>
      </c>
      <c r="G22" s="1221">
        <v>4852.788</v>
      </c>
      <c r="H22" s="1222">
        <v>1545.7479999999998</v>
      </c>
      <c r="I22" s="7"/>
      <c r="K22" s="20">
        <f t="shared" si="0"/>
        <v>2007</v>
      </c>
      <c r="L22" s="1223">
        <f t="shared" si="2"/>
        <v>15711.891089999997</v>
      </c>
      <c r="M22" s="1224"/>
      <c r="N22" s="1216">
        <f t="shared" si="3"/>
        <v>5676.9770899999985</v>
      </c>
      <c r="O22" s="1216">
        <f t="shared" si="3"/>
        <v>3636.3779999999997</v>
      </c>
      <c r="P22" s="1216">
        <f t="shared" si="3"/>
        <v>4852.788</v>
      </c>
      <c r="Q22" s="1216">
        <f t="shared" si="3"/>
        <v>1545.7479999999998</v>
      </c>
    </row>
    <row r="23" spans="2:17" ht="15">
      <c r="B23" s="1217">
        <v>2008</v>
      </c>
      <c r="C23" s="1218">
        <f t="shared" si="1"/>
        <v>15755.033089999999</v>
      </c>
      <c r="D23" s="1219"/>
      <c r="E23" s="1225">
        <v>5710.71509</v>
      </c>
      <c r="F23" s="1221">
        <v>3636.3779999999997</v>
      </c>
      <c r="G23" s="1221">
        <v>4862.161999999999</v>
      </c>
      <c r="H23" s="1222">
        <v>1545.7779999999998</v>
      </c>
      <c r="I23" s="7"/>
      <c r="K23" s="20">
        <f t="shared" si="0"/>
        <v>2008</v>
      </c>
      <c r="L23" s="1223">
        <f>SUM(N23:Q23)</f>
        <v>15755.033089999999</v>
      </c>
      <c r="M23" s="1224"/>
      <c r="N23" s="1216">
        <f t="shared" si="3"/>
        <v>5710.71509</v>
      </c>
      <c r="O23" s="1216">
        <f t="shared" si="3"/>
        <v>3636.3779999999997</v>
      </c>
      <c r="P23" s="1216">
        <f t="shared" si="3"/>
        <v>4862.161999999999</v>
      </c>
      <c r="Q23" s="1216">
        <f t="shared" si="3"/>
        <v>1545.7779999999998</v>
      </c>
    </row>
    <row r="24" spans="2:17" ht="15">
      <c r="B24" s="1217">
        <v>2009</v>
      </c>
      <c r="C24" s="1218">
        <f t="shared" si="1"/>
        <v>16319.40109</v>
      </c>
      <c r="D24" s="1219"/>
      <c r="E24" s="1225">
        <v>5714.26609</v>
      </c>
      <c r="F24" s="1221">
        <v>4057.028</v>
      </c>
      <c r="G24" s="1221">
        <v>4992.947</v>
      </c>
      <c r="H24" s="1222">
        <v>1555.16</v>
      </c>
      <c r="I24" s="7"/>
      <c r="K24" s="20">
        <f t="shared" si="0"/>
        <v>2009</v>
      </c>
      <c r="L24" s="1226">
        <f>SUM(N24:Q24)</f>
        <v>16319.40109</v>
      </c>
      <c r="M24" s="1227"/>
      <c r="N24" s="1228">
        <f t="shared" si="3"/>
        <v>5714.26609</v>
      </c>
      <c r="O24" s="1228">
        <f t="shared" si="3"/>
        <v>4057.028</v>
      </c>
      <c r="P24" s="1228">
        <f t="shared" si="3"/>
        <v>4992.947</v>
      </c>
      <c r="Q24" s="1228">
        <f t="shared" si="3"/>
        <v>1555.16</v>
      </c>
    </row>
    <row r="25" spans="2:17" ht="15">
      <c r="B25" s="1217">
        <v>2010</v>
      </c>
      <c r="C25" s="1218">
        <f t="shared" si="1"/>
        <v>17064.863289999998</v>
      </c>
      <c r="D25" s="1219"/>
      <c r="E25" s="1225">
        <v>5862.567089999999</v>
      </c>
      <c r="F25" s="1221">
        <v>4252.078</v>
      </c>
      <c r="G25" s="1221">
        <v>5204.0582</v>
      </c>
      <c r="H25" s="1222">
        <v>1746.1599999999999</v>
      </c>
      <c r="I25" s="7"/>
      <c r="K25" s="20">
        <f t="shared" si="0"/>
        <v>2010</v>
      </c>
      <c r="L25" s="1226">
        <f>SUM(N25:Q25)</f>
        <v>17064.863289999998</v>
      </c>
      <c r="M25" s="1227"/>
      <c r="N25" s="1228">
        <f t="shared" si="3"/>
        <v>5862.567089999999</v>
      </c>
      <c r="O25" s="1228">
        <f t="shared" si="3"/>
        <v>4252.078</v>
      </c>
      <c r="P25" s="1228">
        <f t="shared" si="3"/>
        <v>5204.0582</v>
      </c>
      <c r="Q25" s="1228">
        <f t="shared" si="3"/>
        <v>1746.1599999999999</v>
      </c>
    </row>
    <row r="26" spans="2:17" ht="15">
      <c r="B26" s="1217" t="s">
        <v>314</v>
      </c>
      <c r="C26" s="1218">
        <f>SUM(D26:H26)</f>
        <v>18559.680289999997</v>
      </c>
      <c r="D26" s="1219">
        <v>89</v>
      </c>
      <c r="E26" s="1225">
        <v>6849.757089999998</v>
      </c>
      <c r="F26" s="1221">
        <v>4277.844</v>
      </c>
      <c r="G26" s="1221">
        <v>5563.4592</v>
      </c>
      <c r="H26" s="1222">
        <v>1779.62</v>
      </c>
      <c r="I26" s="7"/>
      <c r="K26" s="20">
        <v>2011</v>
      </c>
      <c r="L26" s="1226">
        <f>SUM(M26:Q26)</f>
        <v>18559.680289999997</v>
      </c>
      <c r="M26" s="1227">
        <f>+D26</f>
        <v>89</v>
      </c>
      <c r="N26" s="1228">
        <f t="shared" si="3"/>
        <v>6849.757089999998</v>
      </c>
      <c r="O26" s="1228">
        <f t="shared" si="3"/>
        <v>4277.844</v>
      </c>
      <c r="P26" s="1228">
        <f t="shared" si="3"/>
        <v>5563.4592</v>
      </c>
      <c r="Q26" s="1228">
        <f t="shared" si="3"/>
        <v>1779.62</v>
      </c>
    </row>
    <row r="27" spans="2:17" ht="15">
      <c r="B27" s="1229">
        <v>2012</v>
      </c>
      <c r="C27" s="1218">
        <f>SUM(D27:H27)</f>
        <v>19416.29109</v>
      </c>
      <c r="D27" s="1219">
        <v>611</v>
      </c>
      <c r="E27" s="1225">
        <v>6969.757089999998</v>
      </c>
      <c r="F27" s="1221">
        <v>4285.654</v>
      </c>
      <c r="G27" s="1221">
        <v>5760</v>
      </c>
      <c r="H27" s="1222">
        <v>1789.88</v>
      </c>
      <c r="I27" s="7"/>
      <c r="K27" s="20">
        <f>+B27</f>
        <v>2012</v>
      </c>
      <c r="L27" s="1226">
        <f>SUM(M27:Q27)</f>
        <v>19416.29109</v>
      </c>
      <c r="M27" s="1227">
        <f>+D27</f>
        <v>611</v>
      </c>
      <c r="N27" s="1228">
        <f aca="true" t="shared" si="4" ref="N27:Q28">+E27</f>
        <v>6969.757089999998</v>
      </c>
      <c r="O27" s="1228">
        <f t="shared" si="4"/>
        <v>4285.654</v>
      </c>
      <c r="P27" s="1228">
        <f t="shared" si="4"/>
        <v>5760</v>
      </c>
      <c r="Q27" s="1228">
        <f t="shared" si="4"/>
        <v>1789.88</v>
      </c>
    </row>
    <row r="28" spans="2:17" ht="15">
      <c r="B28" s="1229">
        <v>2013</v>
      </c>
      <c r="C28" s="1218">
        <f>SUM(D28:H28)</f>
        <v>20585.1192</v>
      </c>
      <c r="D28" s="1219">
        <v>621.86</v>
      </c>
      <c r="E28" s="1225">
        <v>7841.677</v>
      </c>
      <c r="F28" s="1221">
        <v>4416.933999999999</v>
      </c>
      <c r="G28" s="1221">
        <v>5907.1522</v>
      </c>
      <c r="H28" s="1222">
        <v>1797.496</v>
      </c>
      <c r="I28" s="7"/>
      <c r="K28" s="20">
        <f>+B28</f>
        <v>2013</v>
      </c>
      <c r="L28" s="1226">
        <f>SUM(M28:Q28)</f>
        <v>20585.1192</v>
      </c>
      <c r="M28" s="1227">
        <f>+D28</f>
        <v>621.86</v>
      </c>
      <c r="N28" s="1228">
        <f t="shared" si="4"/>
        <v>7841.677</v>
      </c>
      <c r="O28" s="1228">
        <f t="shared" si="4"/>
        <v>4416.933999999999</v>
      </c>
      <c r="P28" s="1228">
        <f t="shared" si="4"/>
        <v>5907.1522</v>
      </c>
      <c r="Q28" s="1228">
        <f t="shared" si="4"/>
        <v>1797.496</v>
      </c>
    </row>
    <row r="29" spans="2:17" ht="15.75" thickBot="1">
      <c r="B29" s="1230"/>
      <c r="C29" s="1230"/>
      <c r="D29" s="1231"/>
      <c r="E29" s="1232"/>
      <c r="F29" s="1233"/>
      <c r="G29" s="1233"/>
      <c r="H29" s="1234"/>
      <c r="I29" s="7"/>
      <c r="K29" s="20"/>
      <c r="L29" s="1224"/>
      <c r="M29" s="1224"/>
      <c r="N29" s="1235"/>
      <c r="O29" s="1235"/>
      <c r="P29" s="1235"/>
      <c r="Q29" s="1235"/>
    </row>
    <row r="30" spans="2:9" ht="15">
      <c r="B30" s="1236" t="s">
        <v>258</v>
      </c>
      <c r="C30" s="1237">
        <f>(C28/C27)-1</f>
        <v>0.060198320296196206</v>
      </c>
      <c r="D30" s="1238">
        <f>(D28/D27)-1</f>
        <v>0.01777414075286421</v>
      </c>
      <c r="E30" s="1239">
        <f>(E28/E27)-1</f>
        <v>0.12510047319310535</v>
      </c>
      <c r="F30" s="1240">
        <f>(F28/F27)-1</f>
        <v>0.030632430896194274</v>
      </c>
      <c r="G30" s="1241">
        <f>(G28/G27)-1</f>
        <v>0.025547256944444596</v>
      </c>
      <c r="H30" s="1242">
        <f>(H28/H27)-1</f>
        <v>0.00425503385701842</v>
      </c>
      <c r="I30" s="133"/>
    </row>
    <row r="31" spans="2:9" ht="15">
      <c r="B31" s="1243" t="s">
        <v>259</v>
      </c>
      <c r="C31" s="1244">
        <f>((C28/C23)^(1/5))-1</f>
        <v>0.05493770107145268</v>
      </c>
      <c r="D31" s="1245"/>
      <c r="E31" s="1246">
        <f>((E28/E23)^(1/5))-1</f>
        <v>0.06547604809860785</v>
      </c>
      <c r="F31" s="1247">
        <f>((F28/F23)^(1/5))-1</f>
        <v>0.03965770771850696</v>
      </c>
      <c r="G31" s="1248">
        <f>((G28/G23)^(1/5))-1</f>
        <v>0.039704077516787395</v>
      </c>
      <c r="H31" s="1249">
        <f>((H28/H23)^(1/5))-1</f>
        <v>0.030633280108004257</v>
      </c>
      <c r="I31" s="133"/>
    </row>
    <row r="32" spans="2:9" ht="15">
      <c r="B32" s="1243" t="s">
        <v>256</v>
      </c>
      <c r="C32" s="1250">
        <f>+C28/C15-1</f>
        <v>0.507404735232394</v>
      </c>
      <c r="D32" s="1251"/>
      <c r="E32" s="1251">
        <f>+E28/E15-1</f>
        <v>0.6134918445111102</v>
      </c>
      <c r="F32" s="1252">
        <f>+F28/F15-1</f>
        <v>0.40884160996289487</v>
      </c>
      <c r="G32" s="1253">
        <f>+G28/G15-1</f>
        <v>0.40200177055421205</v>
      </c>
      <c r="H32" s="1254">
        <f>+H28/H15-1</f>
        <v>0.2418697937213412</v>
      </c>
      <c r="I32" s="133"/>
    </row>
    <row r="33" spans="2:9" ht="15.75" thickBot="1">
      <c r="B33" s="1255" t="s">
        <v>315</v>
      </c>
      <c r="C33" s="1256">
        <f>((C28/C15)^(1/13))-1</f>
        <v>0.03207198704892056</v>
      </c>
      <c r="D33" s="1257"/>
      <c r="E33" s="1258">
        <f>((E28/E15)^(1/13))-1</f>
        <v>0.0374855570924677</v>
      </c>
      <c r="F33" s="1259">
        <f>((F28/F15)^(1/13))-1</f>
        <v>0.02671743306512231</v>
      </c>
      <c r="G33" s="1260">
        <f>((G28/G15)^(1/13))-1</f>
        <v>0.026333136587129102</v>
      </c>
      <c r="H33" s="1261">
        <f>((H28/H15)^(1/13))-1</f>
        <v>0.01680253499756934</v>
      </c>
      <c r="I33" s="133"/>
    </row>
    <row r="34" spans="2:8" ht="14.25">
      <c r="B34" s="1262"/>
      <c r="C34" s="1263"/>
      <c r="D34" s="1264"/>
      <c r="E34" s="1262"/>
      <c r="F34" s="1262"/>
      <c r="G34" s="1262"/>
      <c r="H34" s="1262"/>
    </row>
    <row r="35" spans="2:8" ht="14.25">
      <c r="B35" s="1265" t="s">
        <v>316</v>
      </c>
      <c r="C35" s="1262"/>
      <c r="D35" s="1262"/>
      <c r="E35" s="1262"/>
      <c r="F35" s="1262"/>
      <c r="G35" s="1262"/>
      <c r="H35" s="1262"/>
    </row>
    <row r="36" spans="2:12" ht="14.25">
      <c r="B36" s="1265" t="s">
        <v>317</v>
      </c>
      <c r="C36" s="1262"/>
      <c r="D36" s="1262"/>
      <c r="E36" s="1262"/>
      <c r="F36" s="1262"/>
      <c r="G36" s="1262"/>
      <c r="H36" s="1262"/>
      <c r="L36" s="14"/>
    </row>
    <row r="37" spans="2:8" ht="14.25">
      <c r="B37" s="1265" t="s">
        <v>318</v>
      </c>
      <c r="C37" s="1262"/>
      <c r="D37" s="1262"/>
      <c r="E37" s="1262"/>
      <c r="F37" s="1262"/>
      <c r="G37" s="1262"/>
      <c r="H37" s="1262"/>
    </row>
    <row r="38" ht="12.75">
      <c r="B38" s="74"/>
    </row>
    <row r="39" ht="12.75">
      <c r="B39" s="74"/>
    </row>
    <row r="40" ht="12.75">
      <c r="B40" s="74"/>
    </row>
    <row r="41" ht="12.75">
      <c r="B41" s="74"/>
    </row>
    <row r="42" ht="12.75">
      <c r="B42" s="74"/>
    </row>
    <row r="44" spans="11:13" ht="12.75">
      <c r="K44" s="4"/>
      <c r="L44" s="4"/>
      <c r="M44" s="4"/>
    </row>
    <row r="45" spans="11:13" ht="12.75">
      <c r="K45" s="4"/>
      <c r="L45" s="4"/>
      <c r="M45" s="4"/>
    </row>
    <row r="46" spans="11:13" ht="12.75">
      <c r="K46" s="4"/>
      <c r="L46" s="4"/>
      <c r="M46" s="4"/>
    </row>
    <row r="47" spans="11:13" ht="12.75">
      <c r="K47" s="4"/>
      <c r="L47" s="4"/>
      <c r="M47" s="4"/>
    </row>
    <row r="48" spans="11:13" ht="12.75">
      <c r="K48" s="4"/>
      <c r="L48" s="4"/>
      <c r="M48" s="4"/>
    </row>
    <row r="49" spans="11:13" ht="12.75">
      <c r="K49" s="4"/>
      <c r="L49" s="4"/>
      <c r="M49" s="4"/>
    </row>
    <row r="50" spans="11:13" ht="12.75">
      <c r="K50" s="4"/>
      <c r="L50" s="4"/>
      <c r="M50" s="4"/>
    </row>
    <row r="51" spans="11:13" ht="12.75">
      <c r="K51" s="4"/>
      <c r="L51" s="4"/>
      <c r="M51" s="4"/>
    </row>
    <row r="52" spans="11:13" ht="12.75">
      <c r="K52" s="4"/>
      <c r="L52" s="4"/>
      <c r="M52" s="4"/>
    </row>
    <row r="53" spans="10:13" ht="12.75">
      <c r="J53" s="20"/>
      <c r="K53" s="4"/>
      <c r="L53" s="4"/>
      <c r="M53" s="4"/>
    </row>
    <row r="54" spans="11:13" ht="12.75">
      <c r="K54" s="4"/>
      <c r="L54" s="4"/>
      <c r="M54" s="4"/>
    </row>
  </sheetData>
  <sheetProtection/>
  <mergeCells count="4">
    <mergeCell ref="B7:B8"/>
    <mergeCell ref="C7:H7"/>
    <mergeCell ref="C8:H8"/>
    <mergeCell ref="L8:Q8"/>
  </mergeCells>
  <printOptions/>
  <pageMargins left="0.984251968503937" right="0.2755905511811024" top="0.9448818897637796" bottom="0.5905511811023623" header="0" footer="0"/>
  <pageSetup fitToHeight="1" fitToWidth="1" horizontalDpi="600" verticalDpi="600" orientation="portrait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P62"/>
  <sheetViews>
    <sheetView view="pageBreakPreview" zoomScaleNormal="55" zoomScaleSheetLayoutView="100" zoomScalePageLayoutView="0" workbookViewId="0" topLeftCell="A1">
      <selection activeCell="A7" sqref="A7"/>
    </sheetView>
  </sheetViews>
  <sheetFormatPr defaultColWidth="11.421875" defaultRowHeight="12.75"/>
  <cols>
    <col min="1" max="1" width="5.00390625" style="216" customWidth="1"/>
    <col min="2" max="2" width="22.140625" style="216" customWidth="1"/>
    <col min="3" max="3" width="15.00390625" style="216" customWidth="1"/>
    <col min="4" max="4" width="13.28125" style="216" customWidth="1"/>
    <col min="5" max="5" width="12.7109375" style="216" customWidth="1"/>
    <col min="6" max="6" width="14.00390625" style="216" customWidth="1"/>
    <col min="7" max="7" width="11.00390625" style="216" customWidth="1"/>
    <col min="8" max="8" width="12.421875" style="216" customWidth="1"/>
    <col min="9" max="9" width="11.7109375" style="216" customWidth="1"/>
    <col min="10" max="10" width="11.00390625" style="216" customWidth="1"/>
    <col min="11" max="11" width="12.28125" style="216" customWidth="1"/>
    <col min="12" max="16384" width="11.421875" style="216" customWidth="1"/>
  </cols>
  <sheetData>
    <row r="6" spans="1:10" ht="18">
      <c r="A6" s="1069" t="s">
        <v>300</v>
      </c>
      <c r="B6" s="1069"/>
      <c r="C6" s="1069"/>
      <c r="D6" s="1069"/>
      <c r="E6" s="1069"/>
      <c r="F6" s="1069"/>
      <c r="G6" s="1069"/>
      <c r="H6" s="1069"/>
      <c r="I6" s="1069"/>
      <c r="J6" s="1069"/>
    </row>
    <row r="8" spans="3:11" ht="15">
      <c r="C8" s="217"/>
      <c r="D8" s="217"/>
      <c r="E8" s="217"/>
      <c r="F8" s="217"/>
      <c r="G8" s="217"/>
      <c r="H8" s="219"/>
      <c r="I8" s="219"/>
      <c r="J8" s="219"/>
      <c r="K8" s="219"/>
    </row>
    <row r="10" spans="2:11" ht="12.75">
      <c r="B10" s="1063" t="s">
        <v>18</v>
      </c>
      <c r="C10" s="1065" t="s">
        <v>50</v>
      </c>
      <c r="D10" s="1066"/>
      <c r="E10" s="1067"/>
      <c r="F10" s="1065" t="s">
        <v>10</v>
      </c>
      <c r="G10" s="1066"/>
      <c r="H10" s="1066"/>
      <c r="I10" s="1068" t="s">
        <v>11</v>
      </c>
      <c r="J10" s="1066"/>
      <c r="K10" s="1067"/>
    </row>
    <row r="11" spans="2:11" ht="12.75">
      <c r="B11" s="1064"/>
      <c r="C11" s="1041" t="s">
        <v>0</v>
      </c>
      <c r="D11" s="1042" t="s">
        <v>16</v>
      </c>
      <c r="E11" s="1043" t="s">
        <v>17</v>
      </c>
      <c r="F11" s="1044" t="s">
        <v>12</v>
      </c>
      <c r="G11" s="1042" t="s">
        <v>16</v>
      </c>
      <c r="H11" s="1045" t="s">
        <v>17</v>
      </c>
      <c r="I11" s="1046" t="s">
        <v>0</v>
      </c>
      <c r="J11" s="1042" t="s">
        <v>16</v>
      </c>
      <c r="K11" s="1043" t="s">
        <v>17</v>
      </c>
    </row>
    <row r="12" spans="2:16" ht="12.75">
      <c r="B12" s="1047"/>
      <c r="C12" s="1048"/>
      <c r="D12" s="1049"/>
      <c r="E12" s="1050"/>
      <c r="F12" s="1051"/>
      <c r="G12" s="1049"/>
      <c r="H12" s="1052"/>
      <c r="I12" s="1053"/>
      <c r="J12" s="1049"/>
      <c r="K12" s="1050"/>
      <c r="O12" s="216" t="s">
        <v>8</v>
      </c>
      <c r="P12" s="216" t="s">
        <v>9</v>
      </c>
    </row>
    <row r="13" spans="2:11" ht="12.75">
      <c r="B13" s="400"/>
      <c r="C13" s="401"/>
      <c r="D13" s="402"/>
      <c r="E13" s="403"/>
      <c r="F13" s="404"/>
      <c r="G13" s="402"/>
      <c r="H13" s="405"/>
      <c r="I13" s="406"/>
      <c r="J13" s="402"/>
      <c r="K13" s="403"/>
    </row>
    <row r="14" spans="2:16" ht="12.75">
      <c r="B14" s="407">
        <v>1995</v>
      </c>
      <c r="C14" s="408">
        <f aca="true" t="shared" si="0" ref="C14:C29">SUM(D14:E14)</f>
        <v>9849.256128000005</v>
      </c>
      <c r="D14" s="409">
        <f aca="true" t="shared" si="1" ref="D14:E29">SUM(G14,J14)</f>
        <v>6430.384862000004</v>
      </c>
      <c r="E14" s="410">
        <f t="shared" si="1"/>
        <v>3418.8712659999997</v>
      </c>
      <c r="F14" s="411">
        <f aca="true" t="shared" si="2" ref="F14:F29">SUM(G14:H14)</f>
        <v>8673.708087000005</v>
      </c>
      <c r="G14" s="409">
        <v>6430.384862000004</v>
      </c>
      <c r="H14" s="412">
        <v>2243.3232249999996</v>
      </c>
      <c r="I14" s="413">
        <f aca="true" t="shared" si="3" ref="I14:I29">SUM(J14:K14)</f>
        <v>1175.548041</v>
      </c>
      <c r="J14" s="409"/>
      <c r="K14" s="410">
        <v>1175.548041</v>
      </c>
      <c r="L14" s="414"/>
      <c r="M14" s="380"/>
      <c r="N14" s="216">
        <v>1995</v>
      </c>
      <c r="O14" s="222">
        <f aca="true" t="shared" si="4" ref="O14:P27">D14</f>
        <v>6430.384862000004</v>
      </c>
      <c r="P14" s="222">
        <f t="shared" si="4"/>
        <v>3418.8712659999997</v>
      </c>
    </row>
    <row r="15" spans="2:16" ht="12.75">
      <c r="B15" s="415">
        <v>1996</v>
      </c>
      <c r="C15" s="416">
        <f t="shared" si="0"/>
        <v>10330.839597999991</v>
      </c>
      <c r="D15" s="417">
        <f t="shared" si="1"/>
        <v>6781.815841999992</v>
      </c>
      <c r="E15" s="418">
        <f t="shared" si="1"/>
        <v>3549.0237560000005</v>
      </c>
      <c r="F15" s="419">
        <f t="shared" si="2"/>
        <v>8770.610735999991</v>
      </c>
      <c r="G15" s="417">
        <v>6781.815841999992</v>
      </c>
      <c r="H15" s="420">
        <v>1988.7948940000003</v>
      </c>
      <c r="I15" s="421">
        <f t="shared" si="3"/>
        <v>1560.228862</v>
      </c>
      <c r="J15" s="417"/>
      <c r="K15" s="418">
        <v>1560.228862</v>
      </c>
      <c r="L15" s="414"/>
      <c r="M15" s="380"/>
      <c r="N15" s="216">
        <v>1996</v>
      </c>
      <c r="O15" s="222">
        <f t="shared" si="4"/>
        <v>6781.815841999992</v>
      </c>
      <c r="P15" s="222">
        <f t="shared" si="4"/>
        <v>3549.0237560000005</v>
      </c>
    </row>
    <row r="16" spans="2:16" ht="12.75">
      <c r="B16" s="407">
        <v>1997</v>
      </c>
      <c r="C16" s="408">
        <f t="shared" si="0"/>
        <v>12451.230159999992</v>
      </c>
      <c r="D16" s="409">
        <f t="shared" si="1"/>
        <v>7291.649441999992</v>
      </c>
      <c r="E16" s="410">
        <f t="shared" si="1"/>
        <v>5159.580717999999</v>
      </c>
      <c r="F16" s="411">
        <f t="shared" si="2"/>
        <v>9377.89467999999</v>
      </c>
      <c r="G16" s="409">
        <v>7291.649441999992</v>
      </c>
      <c r="H16" s="412">
        <v>2086.2452379999995</v>
      </c>
      <c r="I16" s="413">
        <f t="shared" si="3"/>
        <v>3073.3354799999997</v>
      </c>
      <c r="J16" s="409"/>
      <c r="K16" s="410">
        <v>3073.3354799999997</v>
      </c>
      <c r="L16" s="414"/>
      <c r="M16" s="422"/>
      <c r="N16" s="216">
        <v>1997</v>
      </c>
      <c r="O16" s="222">
        <f t="shared" si="4"/>
        <v>7291.649441999992</v>
      </c>
      <c r="P16" s="222">
        <f t="shared" si="4"/>
        <v>5159.580717999999</v>
      </c>
    </row>
    <row r="17" spans="2:16" ht="12.75">
      <c r="B17" s="415">
        <v>1998</v>
      </c>
      <c r="C17" s="416">
        <f t="shared" si="0"/>
        <v>14008.576822999998</v>
      </c>
      <c r="D17" s="417">
        <f t="shared" si="1"/>
        <v>7755.838101999997</v>
      </c>
      <c r="E17" s="418">
        <f t="shared" si="1"/>
        <v>6252.738721000001</v>
      </c>
      <c r="F17" s="419">
        <f t="shared" si="2"/>
        <v>9878.661572999998</v>
      </c>
      <c r="G17" s="417">
        <v>7755.838101999997</v>
      </c>
      <c r="H17" s="420">
        <v>2122.8234709999997</v>
      </c>
      <c r="I17" s="421">
        <f t="shared" si="3"/>
        <v>4129.915250000001</v>
      </c>
      <c r="J17" s="417"/>
      <c r="K17" s="418">
        <v>4129.915250000001</v>
      </c>
      <c r="L17" s="414"/>
      <c r="M17" s="380"/>
      <c r="N17" s="216">
        <v>1998</v>
      </c>
      <c r="O17" s="222">
        <f t="shared" si="4"/>
        <v>7755.838101999997</v>
      </c>
      <c r="P17" s="222">
        <f t="shared" si="4"/>
        <v>6252.738721000001</v>
      </c>
    </row>
    <row r="18" spans="2:16" ht="12.75">
      <c r="B18" s="407">
        <v>1999</v>
      </c>
      <c r="C18" s="408">
        <f t="shared" si="0"/>
        <v>14591.89155900001</v>
      </c>
      <c r="D18" s="409">
        <f t="shared" si="1"/>
        <v>8071.873335000011</v>
      </c>
      <c r="E18" s="410">
        <f t="shared" si="1"/>
        <v>6520.0182239999995</v>
      </c>
      <c r="F18" s="411">
        <f t="shared" si="2"/>
        <v>10198.89102700001</v>
      </c>
      <c r="G18" s="409">
        <v>8071.873335000011</v>
      </c>
      <c r="H18" s="412">
        <v>2127.017692</v>
      </c>
      <c r="I18" s="413">
        <f t="shared" si="3"/>
        <v>4393.000532</v>
      </c>
      <c r="J18" s="409"/>
      <c r="K18" s="410">
        <v>4393.000532</v>
      </c>
      <c r="L18" s="414"/>
      <c r="M18" s="380"/>
      <c r="N18" s="216">
        <v>1999</v>
      </c>
      <c r="O18" s="222">
        <f t="shared" si="4"/>
        <v>8071.873335000011</v>
      </c>
      <c r="P18" s="222">
        <f t="shared" si="4"/>
        <v>6520.0182239999995</v>
      </c>
    </row>
    <row r="19" spans="2:16" ht="12.75">
      <c r="B19" s="415">
        <v>2000</v>
      </c>
      <c r="C19" s="416">
        <f t="shared" si="0"/>
        <v>15545.595392000014</v>
      </c>
      <c r="D19" s="417">
        <f t="shared" si="1"/>
        <v>8406.778280000013</v>
      </c>
      <c r="E19" s="418">
        <f t="shared" si="1"/>
        <v>7138.817112000001</v>
      </c>
      <c r="F19" s="419">
        <f t="shared" si="2"/>
        <v>10763.269271000014</v>
      </c>
      <c r="G19" s="417">
        <v>8406.778280000013</v>
      </c>
      <c r="H19" s="420">
        <v>2356.490991</v>
      </c>
      <c r="I19" s="421">
        <f t="shared" si="3"/>
        <v>4782.326121</v>
      </c>
      <c r="J19" s="423"/>
      <c r="K19" s="418">
        <v>4782.326121</v>
      </c>
      <c r="L19" s="414"/>
      <c r="M19" s="380"/>
      <c r="N19" s="216">
        <v>2000</v>
      </c>
      <c r="O19" s="222">
        <f t="shared" si="4"/>
        <v>8406.778280000013</v>
      </c>
      <c r="P19" s="222">
        <f t="shared" si="4"/>
        <v>7138.817112000001</v>
      </c>
    </row>
    <row r="20" spans="2:16" ht="12.75">
      <c r="B20" s="407">
        <v>2001</v>
      </c>
      <c r="C20" s="408">
        <f t="shared" si="0"/>
        <v>16628.75454499999</v>
      </c>
      <c r="D20" s="409">
        <f t="shared" si="1"/>
        <v>8654.853232999987</v>
      </c>
      <c r="E20" s="410">
        <f t="shared" si="1"/>
        <v>7973.901312</v>
      </c>
      <c r="F20" s="411">
        <f t="shared" si="2"/>
        <v>10522.374724999987</v>
      </c>
      <c r="G20" s="409">
        <v>8654.853232999987</v>
      </c>
      <c r="H20" s="412">
        <v>1867.5214919999999</v>
      </c>
      <c r="I20" s="413">
        <f t="shared" si="3"/>
        <v>6106.37982</v>
      </c>
      <c r="J20" s="424"/>
      <c r="K20" s="410">
        <v>6106.37982</v>
      </c>
      <c r="L20" s="414"/>
      <c r="M20" s="380"/>
      <c r="N20" s="216">
        <v>2001</v>
      </c>
      <c r="O20" s="222">
        <f t="shared" si="4"/>
        <v>8654.853232999987</v>
      </c>
      <c r="P20" s="222">
        <f t="shared" si="4"/>
        <v>7973.901312</v>
      </c>
    </row>
    <row r="21" spans="2:16" ht="12.75">
      <c r="B21" s="415">
        <v>2002</v>
      </c>
      <c r="C21" s="416">
        <f t="shared" si="0"/>
        <v>17605.325913848</v>
      </c>
      <c r="D21" s="417">
        <f t="shared" si="1"/>
        <v>9221.888807000001</v>
      </c>
      <c r="E21" s="418">
        <f t="shared" si="1"/>
        <v>8383.437106848</v>
      </c>
      <c r="F21" s="419">
        <f t="shared" si="2"/>
        <v>11113.547163000001</v>
      </c>
      <c r="G21" s="417">
        <v>9221.888807000001</v>
      </c>
      <c r="H21" s="420">
        <v>1891.6583559999997</v>
      </c>
      <c r="I21" s="421">
        <f t="shared" si="3"/>
        <v>6491.778750848</v>
      </c>
      <c r="J21" s="423"/>
      <c r="K21" s="418">
        <v>6491.778750848</v>
      </c>
      <c r="L21" s="414"/>
      <c r="N21" s="250">
        <v>2002</v>
      </c>
      <c r="O21" s="222">
        <f t="shared" si="4"/>
        <v>9221.888807000001</v>
      </c>
      <c r="P21" s="222">
        <f t="shared" si="4"/>
        <v>8383.437106848</v>
      </c>
    </row>
    <row r="22" spans="2:16" ht="12.75">
      <c r="B22" s="407">
        <v>2003</v>
      </c>
      <c r="C22" s="408">
        <f>SUM(D22:E22)</f>
        <v>18375.33541</v>
      </c>
      <c r="D22" s="409">
        <f t="shared" si="1"/>
        <v>9610.790289</v>
      </c>
      <c r="E22" s="410">
        <f t="shared" si="1"/>
        <v>8764.545121000001</v>
      </c>
      <c r="F22" s="411">
        <f t="shared" si="2"/>
        <v>11303.613573</v>
      </c>
      <c r="G22" s="409">
        <v>9610.790289</v>
      </c>
      <c r="H22" s="412">
        <v>1692.823284</v>
      </c>
      <c r="I22" s="413">
        <f>SUM(J22:K22)</f>
        <v>7071.721837000001</v>
      </c>
      <c r="J22" s="424"/>
      <c r="K22" s="410">
        <v>7071.721837000001</v>
      </c>
      <c r="L22" s="425"/>
      <c r="N22" s="216">
        <v>2003</v>
      </c>
      <c r="O22" s="222">
        <f t="shared" si="4"/>
        <v>9610.790289</v>
      </c>
      <c r="P22" s="222">
        <f t="shared" si="4"/>
        <v>8764.545121000001</v>
      </c>
    </row>
    <row r="23" spans="2:16" ht="12.75">
      <c r="B23" s="415">
        <v>2004</v>
      </c>
      <c r="C23" s="416">
        <f t="shared" si="0"/>
        <v>19640.65111</v>
      </c>
      <c r="D23" s="417">
        <f t="shared" si="1"/>
        <v>10352.511363000001</v>
      </c>
      <c r="E23" s="418">
        <f t="shared" si="1"/>
        <v>9288.139747</v>
      </c>
      <c r="F23" s="419">
        <f t="shared" si="2"/>
        <v>12001.305316000002</v>
      </c>
      <c r="G23" s="417">
        <v>10352.511363000001</v>
      </c>
      <c r="H23" s="420">
        <v>1648.793953</v>
      </c>
      <c r="I23" s="421">
        <f t="shared" si="3"/>
        <v>7639.345794</v>
      </c>
      <c r="J23" s="423"/>
      <c r="K23" s="418">
        <v>7639.345794</v>
      </c>
      <c r="L23" s="414"/>
      <c r="N23" s="250">
        <v>2004</v>
      </c>
      <c r="O23" s="222">
        <f t="shared" si="4"/>
        <v>10352.511363000001</v>
      </c>
      <c r="P23" s="222">
        <f t="shared" si="4"/>
        <v>9288.139747</v>
      </c>
    </row>
    <row r="24" spans="2:16" ht="12.75">
      <c r="B24" s="407">
        <v>2005</v>
      </c>
      <c r="C24" s="408">
        <f t="shared" si="0"/>
        <v>20701.382880222223</v>
      </c>
      <c r="D24" s="409">
        <f t="shared" si="1"/>
        <v>11150.106846222223</v>
      </c>
      <c r="E24" s="410">
        <f t="shared" si="1"/>
        <v>9551.276034</v>
      </c>
      <c r="F24" s="411">
        <f t="shared" si="2"/>
        <v>12914.287800222222</v>
      </c>
      <c r="G24" s="409">
        <v>11150.106846222223</v>
      </c>
      <c r="H24" s="412">
        <v>1764.180954</v>
      </c>
      <c r="I24" s="413">
        <f t="shared" si="3"/>
        <v>7787.095080000001</v>
      </c>
      <c r="J24" s="424"/>
      <c r="K24" s="410">
        <v>7787.095080000001</v>
      </c>
      <c r="L24" s="414"/>
      <c r="N24" s="216">
        <v>2005</v>
      </c>
      <c r="O24" s="222">
        <f t="shared" si="4"/>
        <v>11150.106846222223</v>
      </c>
      <c r="P24" s="222">
        <f t="shared" si="4"/>
        <v>9551.276034</v>
      </c>
    </row>
    <row r="25" spans="2:16" ht="12.75">
      <c r="B25" s="415">
        <v>2006</v>
      </c>
      <c r="C25" s="416">
        <f t="shared" si="0"/>
        <v>22290.061152999995</v>
      </c>
      <c r="D25" s="417">
        <f>SUM(G25,J25)</f>
        <v>12169.514937999998</v>
      </c>
      <c r="E25" s="418">
        <f>SUM(H25,K25)</f>
        <v>10120.546214999998</v>
      </c>
      <c r="F25" s="419">
        <f t="shared" si="2"/>
        <v>14043.638326999999</v>
      </c>
      <c r="G25" s="417">
        <v>12169.514937999998</v>
      </c>
      <c r="H25" s="420">
        <v>1874.1233889999999</v>
      </c>
      <c r="I25" s="421">
        <f t="shared" si="3"/>
        <v>8246.422825999998</v>
      </c>
      <c r="J25" s="423"/>
      <c r="K25" s="418">
        <v>8246.422825999998</v>
      </c>
      <c r="L25" s="414"/>
      <c r="N25" s="250">
        <v>2006</v>
      </c>
      <c r="O25" s="222">
        <f t="shared" si="4"/>
        <v>12169.514937999998</v>
      </c>
      <c r="P25" s="222">
        <f t="shared" si="4"/>
        <v>10120.546214999998</v>
      </c>
    </row>
    <row r="26" spans="2:16" ht="12.75">
      <c r="B26" s="407">
        <v>2007</v>
      </c>
      <c r="C26" s="408">
        <f t="shared" si="0"/>
        <v>24721.748553</v>
      </c>
      <c r="D26" s="409">
        <f t="shared" si="1"/>
        <v>13346.184469</v>
      </c>
      <c r="E26" s="410">
        <f t="shared" si="1"/>
        <v>11375.564084000001</v>
      </c>
      <c r="F26" s="426">
        <f t="shared" si="2"/>
        <v>15032.180855</v>
      </c>
      <c r="G26" s="409">
        <v>13346.184469</v>
      </c>
      <c r="H26" s="412">
        <v>1685.996386</v>
      </c>
      <c r="I26" s="413">
        <f t="shared" si="3"/>
        <v>9689.567698</v>
      </c>
      <c r="J26" s="424"/>
      <c r="K26" s="410">
        <v>9689.567698</v>
      </c>
      <c r="L26" s="414"/>
      <c r="N26" s="250">
        <v>2007</v>
      </c>
      <c r="O26" s="222">
        <f t="shared" si="4"/>
        <v>13346.184469</v>
      </c>
      <c r="P26" s="222">
        <f t="shared" si="4"/>
        <v>11375.564084000001</v>
      </c>
    </row>
    <row r="27" spans="2:16" ht="12.75">
      <c r="B27" s="415">
        <v>2008</v>
      </c>
      <c r="C27" s="416">
        <f t="shared" si="0"/>
        <v>26964.414596000002</v>
      </c>
      <c r="D27" s="417">
        <f t="shared" si="1"/>
        <v>14569.444074000001</v>
      </c>
      <c r="E27" s="418">
        <f t="shared" si="1"/>
        <v>12394.970522</v>
      </c>
      <c r="F27" s="427">
        <f t="shared" si="2"/>
        <v>16297.176545</v>
      </c>
      <c r="G27" s="417">
        <v>14569.444074000001</v>
      </c>
      <c r="H27" s="420">
        <v>1727.732471</v>
      </c>
      <c r="I27" s="421">
        <f t="shared" si="3"/>
        <v>10667.238051</v>
      </c>
      <c r="J27" s="423"/>
      <c r="K27" s="418">
        <v>10667.238051</v>
      </c>
      <c r="L27" s="414"/>
      <c r="N27" s="250">
        <v>2008</v>
      </c>
      <c r="O27" s="222">
        <f t="shared" si="4"/>
        <v>14569.444074000001</v>
      </c>
      <c r="P27" s="222">
        <f t="shared" si="4"/>
        <v>12394.970522</v>
      </c>
    </row>
    <row r="28" spans="2:16" ht="12.75">
      <c r="B28" s="407">
        <v>2009</v>
      </c>
      <c r="C28" s="408">
        <f t="shared" si="0"/>
        <v>27087.005776999995</v>
      </c>
      <c r="D28" s="409">
        <f t="shared" si="1"/>
        <v>15204.704771999996</v>
      </c>
      <c r="E28" s="410">
        <f t="shared" si="1"/>
        <v>11882.301005</v>
      </c>
      <c r="F28" s="426">
        <f t="shared" si="2"/>
        <v>17000.664144999995</v>
      </c>
      <c r="G28" s="409">
        <v>15204.704771999996</v>
      </c>
      <c r="H28" s="412">
        <v>1795.9593729999997</v>
      </c>
      <c r="I28" s="413">
        <f t="shared" si="3"/>
        <v>10086.341632</v>
      </c>
      <c r="J28" s="424"/>
      <c r="K28" s="410">
        <v>10086.341632</v>
      </c>
      <c r="L28" s="414"/>
      <c r="N28" s="250">
        <v>2009</v>
      </c>
      <c r="O28" s="222">
        <f aca="true" t="shared" si="5" ref="O28:P30">D28</f>
        <v>15204.704771999996</v>
      </c>
      <c r="P28" s="222">
        <f t="shared" si="5"/>
        <v>11882.301005</v>
      </c>
    </row>
    <row r="29" spans="2:16" ht="12.75">
      <c r="B29" s="415">
        <v>2010</v>
      </c>
      <c r="C29" s="416">
        <f t="shared" si="0"/>
        <v>29436.175124</v>
      </c>
      <c r="D29" s="417">
        <f t="shared" si="1"/>
        <v>16430.850569000002</v>
      </c>
      <c r="E29" s="418">
        <f t="shared" si="1"/>
        <v>13005.324555</v>
      </c>
      <c r="F29" s="427">
        <f t="shared" si="2"/>
        <v>18195.325098</v>
      </c>
      <c r="G29" s="417">
        <v>16430.850569000002</v>
      </c>
      <c r="H29" s="420">
        <v>1764.474529</v>
      </c>
      <c r="I29" s="421">
        <f t="shared" si="3"/>
        <v>11240.850026</v>
      </c>
      <c r="J29" s="423"/>
      <c r="K29" s="418">
        <v>11240.850026</v>
      </c>
      <c r="L29" s="414"/>
      <c r="N29" s="250">
        <v>2010</v>
      </c>
      <c r="O29" s="222">
        <f t="shared" si="5"/>
        <v>16430.850569000002</v>
      </c>
      <c r="P29" s="222">
        <f t="shared" si="5"/>
        <v>13005.324555</v>
      </c>
    </row>
    <row r="30" spans="2:16" ht="12.75">
      <c r="B30" s="407">
        <v>2011</v>
      </c>
      <c r="C30" s="408">
        <f>SUM(D30:E30)</f>
        <v>31820.3508052511</v>
      </c>
      <c r="D30" s="409">
        <f aca="true" t="shared" si="6" ref="D30:E32">SUM(G30,J30)</f>
        <v>17891.5565232511</v>
      </c>
      <c r="E30" s="410">
        <f t="shared" si="6"/>
        <v>13928.794281999999</v>
      </c>
      <c r="F30" s="426">
        <f>SUM(G30:H30)</f>
        <v>19753.0406982511</v>
      </c>
      <c r="G30" s="409">
        <v>17891.5565232511</v>
      </c>
      <c r="H30" s="412">
        <v>1861.484175</v>
      </c>
      <c r="I30" s="413">
        <f>SUM(J30:K30)</f>
        <v>12067.310107</v>
      </c>
      <c r="J30" s="424"/>
      <c r="K30" s="410">
        <v>12067.310107</v>
      </c>
      <c r="L30" s="414"/>
      <c r="N30" s="250">
        <v>2011</v>
      </c>
      <c r="O30" s="222">
        <f t="shared" si="5"/>
        <v>17891.5565232511</v>
      </c>
      <c r="P30" s="222">
        <f t="shared" si="5"/>
        <v>13928.794281999999</v>
      </c>
    </row>
    <row r="31" spans="2:16" ht="12.75">
      <c r="B31" s="415">
        <v>2012</v>
      </c>
      <c r="C31" s="416">
        <f>SUM(D31:E31)</f>
        <v>33648.185935</v>
      </c>
      <c r="D31" s="417">
        <f t="shared" si="6"/>
        <v>18962.169936</v>
      </c>
      <c r="E31" s="418">
        <f t="shared" si="6"/>
        <v>14686.015999</v>
      </c>
      <c r="F31" s="427">
        <f>SUM(G31:H31)</f>
        <v>20947.295381</v>
      </c>
      <c r="G31" s="417">
        <v>18962.169936</v>
      </c>
      <c r="H31" s="420">
        <v>1985.125445</v>
      </c>
      <c r="I31" s="421">
        <f>SUM(J31:K31)</f>
        <v>12700.890554</v>
      </c>
      <c r="J31" s="423"/>
      <c r="K31" s="418">
        <v>12700.890554</v>
      </c>
      <c r="L31" s="414"/>
      <c r="N31" s="250">
        <v>2012</v>
      </c>
      <c r="O31" s="222">
        <f>D31</f>
        <v>18962.169936</v>
      </c>
      <c r="P31" s="222">
        <f>E31</f>
        <v>14686.015999</v>
      </c>
    </row>
    <row r="32" spans="2:16" ht="12.75">
      <c r="B32" s="407">
        <v>2013</v>
      </c>
      <c r="C32" s="408">
        <f>SUM(D32:E32)</f>
        <v>35609.6527</v>
      </c>
      <c r="D32" s="409">
        <f t="shared" si="6"/>
        <v>19881.575265</v>
      </c>
      <c r="E32" s="410">
        <f t="shared" si="6"/>
        <v>15728.077435</v>
      </c>
      <c r="F32" s="426">
        <f>SUM(G32:H32)</f>
        <v>21935.480477</v>
      </c>
      <c r="G32" s="409">
        <v>19881.575265</v>
      </c>
      <c r="H32" s="412">
        <v>2053.905212</v>
      </c>
      <c r="I32" s="413">
        <f>SUM(J32:K32)</f>
        <v>13674.172223</v>
      </c>
      <c r="J32" s="424"/>
      <c r="K32" s="410">
        <v>13674.172223</v>
      </c>
      <c r="L32" s="414"/>
      <c r="N32" s="250">
        <v>2013</v>
      </c>
      <c r="O32" s="222">
        <f>D32</f>
        <v>19881.575265</v>
      </c>
      <c r="P32" s="222">
        <f>E32</f>
        <v>15728.077435</v>
      </c>
    </row>
    <row r="33" spans="2:16" ht="13.5" thickBot="1">
      <c r="B33" s="415"/>
      <c r="C33" s="416"/>
      <c r="D33" s="417"/>
      <c r="E33" s="418"/>
      <c r="F33" s="427"/>
      <c r="G33" s="417"/>
      <c r="H33" s="420"/>
      <c r="I33" s="421"/>
      <c r="J33" s="428"/>
      <c r="K33" s="418"/>
      <c r="L33" s="414"/>
      <c r="N33" s="250"/>
      <c r="O33" s="222"/>
      <c r="P33" s="222"/>
    </row>
    <row r="34" spans="2:14" ht="12.75" customHeight="1">
      <c r="B34" s="264" t="s">
        <v>254</v>
      </c>
      <c r="C34" s="265">
        <f>(C32/C31)-1</f>
        <v>0.05829338820193963</v>
      </c>
      <c r="D34" s="268">
        <f aca="true" t="shared" si="7" ref="D34:I34">(D32/D31)-1</f>
        <v>0.04848629308265484</v>
      </c>
      <c r="E34" s="266">
        <f t="shared" si="7"/>
        <v>0.07095603300928977</v>
      </c>
      <c r="F34" s="429">
        <f t="shared" si="7"/>
        <v>0.047174829877862035</v>
      </c>
      <c r="G34" s="430">
        <f t="shared" si="7"/>
        <v>0.04848629308265484</v>
      </c>
      <c r="H34" s="431">
        <f t="shared" si="7"/>
        <v>0.034647567071007135</v>
      </c>
      <c r="I34" s="432">
        <f t="shared" si="7"/>
        <v>0.07663097834454424</v>
      </c>
      <c r="J34" s="433"/>
      <c r="K34" s="434">
        <f>(K32/K31)-1</f>
        <v>0.07663097834454424</v>
      </c>
      <c r="M34" s="435"/>
      <c r="N34" s="435"/>
    </row>
    <row r="35" spans="2:11" ht="12.75" customHeight="1">
      <c r="B35" s="436" t="s">
        <v>255</v>
      </c>
      <c r="C35" s="437">
        <f>((C32/C27)^(1/5))-1</f>
        <v>0.05719560350384234</v>
      </c>
      <c r="D35" s="438">
        <f aca="true" t="shared" si="8" ref="D35:I35">((D32/D27)^(1/5))-1</f>
        <v>0.06414684600960752</v>
      </c>
      <c r="E35" s="439">
        <f t="shared" si="8"/>
        <v>0.048783939255722775</v>
      </c>
      <c r="F35" s="440">
        <f t="shared" si="8"/>
        <v>0.061223738851538645</v>
      </c>
      <c r="G35" s="441">
        <f t="shared" si="8"/>
        <v>0.06414684600960752</v>
      </c>
      <c r="H35" s="442">
        <f t="shared" si="8"/>
        <v>0.035191697779450415</v>
      </c>
      <c r="I35" s="443">
        <f t="shared" si="8"/>
        <v>0.0509203739772357</v>
      </c>
      <c r="J35" s="444"/>
      <c r="K35" s="445">
        <f>((K32/K27)^(1/5))-1</f>
        <v>0.0509203739772357</v>
      </c>
    </row>
    <row r="36" spans="2:11" ht="12.75" customHeight="1">
      <c r="B36" s="446" t="s">
        <v>256</v>
      </c>
      <c r="C36" s="447">
        <f>(C32/C19)-1</f>
        <v>1.2906586593862617</v>
      </c>
      <c r="D36" s="448">
        <f aca="true" t="shared" si="9" ref="D36:I36">(D32/D19)-1</f>
        <v>1.364945833328195</v>
      </c>
      <c r="E36" s="449">
        <f t="shared" si="9"/>
        <v>1.2031769673104349</v>
      </c>
      <c r="F36" s="450">
        <f t="shared" si="9"/>
        <v>1.0379942120468737</v>
      </c>
      <c r="G36" s="451">
        <f t="shared" si="9"/>
        <v>1.364945833328195</v>
      </c>
      <c r="H36" s="452">
        <f t="shared" si="9"/>
        <v>-0.12840523479854038</v>
      </c>
      <c r="I36" s="453">
        <f t="shared" si="9"/>
        <v>1.8593140402856267</v>
      </c>
      <c r="J36" s="454"/>
      <c r="K36" s="455">
        <f>(K32/K19)-1</f>
        <v>1.8593140402856267</v>
      </c>
    </row>
    <row r="37" spans="2:11" ht="12.75" customHeight="1" thickBot="1">
      <c r="B37" s="392" t="s">
        <v>257</v>
      </c>
      <c r="C37" s="456">
        <f aca="true" t="shared" si="10" ref="C37:I37">((C32/C19)^(1/13))-1</f>
        <v>0.06583323863491652</v>
      </c>
      <c r="D37" s="457">
        <f t="shared" si="10"/>
        <v>0.06845313276508103</v>
      </c>
      <c r="E37" s="458">
        <f t="shared" si="10"/>
        <v>0.0626455161615489</v>
      </c>
      <c r="F37" s="459">
        <f t="shared" si="10"/>
        <v>0.05629407082350513</v>
      </c>
      <c r="G37" s="460">
        <f t="shared" si="10"/>
        <v>0.06845313276508103</v>
      </c>
      <c r="H37" s="461">
        <f t="shared" si="10"/>
        <v>-0.010515908039293254</v>
      </c>
      <c r="I37" s="462">
        <f t="shared" si="10"/>
        <v>0.08416920148771978</v>
      </c>
      <c r="J37" s="454"/>
      <c r="K37" s="463">
        <f>((K32/K19)^(1/13))-1</f>
        <v>0.08416920148771978</v>
      </c>
    </row>
    <row r="38" spans="2:3" ht="12.75">
      <c r="B38" s="296"/>
      <c r="C38" s="396"/>
    </row>
    <row r="39" spans="2:3" ht="12.75">
      <c r="B39" s="299"/>
      <c r="C39" s="464"/>
    </row>
    <row r="40" ht="12.75">
      <c r="B40" s="465"/>
    </row>
    <row r="41" spans="15:16" ht="12.75">
      <c r="O41" s="216" t="s">
        <v>10</v>
      </c>
      <c r="P41" s="216" t="s">
        <v>11</v>
      </c>
    </row>
    <row r="42" spans="15:16" ht="12.75">
      <c r="O42" s="222"/>
      <c r="P42" s="222"/>
    </row>
    <row r="43" spans="15:16" ht="12.75">
      <c r="O43" s="222"/>
      <c r="P43" s="222"/>
    </row>
    <row r="44" spans="14:16" ht="12.75">
      <c r="N44" s="216">
        <v>1995</v>
      </c>
      <c r="O44" s="222">
        <f aca="true" t="shared" si="11" ref="O44:O60">F14</f>
        <v>8673.708087000005</v>
      </c>
      <c r="P44" s="222">
        <f aca="true" t="shared" si="12" ref="P44:P60">I14</f>
        <v>1175.548041</v>
      </c>
    </row>
    <row r="45" spans="14:16" ht="12.75">
      <c r="N45" s="216">
        <v>1996</v>
      </c>
      <c r="O45" s="222">
        <f t="shared" si="11"/>
        <v>8770.610735999991</v>
      </c>
      <c r="P45" s="222">
        <f t="shared" si="12"/>
        <v>1560.228862</v>
      </c>
    </row>
    <row r="46" spans="14:16" ht="12.75">
      <c r="N46" s="216">
        <v>1997</v>
      </c>
      <c r="O46" s="222">
        <f t="shared" si="11"/>
        <v>9377.89467999999</v>
      </c>
      <c r="P46" s="222">
        <f t="shared" si="12"/>
        <v>3073.3354799999997</v>
      </c>
    </row>
    <row r="47" spans="14:16" ht="12.75">
      <c r="N47" s="216">
        <v>1998</v>
      </c>
      <c r="O47" s="222">
        <f t="shared" si="11"/>
        <v>9878.661572999998</v>
      </c>
      <c r="P47" s="222">
        <f t="shared" si="12"/>
        <v>4129.915250000001</v>
      </c>
    </row>
    <row r="48" spans="14:16" ht="12.75">
      <c r="N48" s="216">
        <v>1999</v>
      </c>
      <c r="O48" s="222">
        <f t="shared" si="11"/>
        <v>10198.89102700001</v>
      </c>
      <c r="P48" s="222">
        <f t="shared" si="12"/>
        <v>4393.000532</v>
      </c>
    </row>
    <row r="49" spans="14:16" ht="12.75">
      <c r="N49" s="216">
        <v>2000</v>
      </c>
      <c r="O49" s="222">
        <f t="shared" si="11"/>
        <v>10763.269271000014</v>
      </c>
      <c r="P49" s="222">
        <f t="shared" si="12"/>
        <v>4782.326121</v>
      </c>
    </row>
    <row r="50" spans="14:16" ht="12.75">
      <c r="N50" s="216">
        <v>2001</v>
      </c>
      <c r="O50" s="222">
        <f t="shared" si="11"/>
        <v>10522.374724999987</v>
      </c>
      <c r="P50" s="222">
        <f t="shared" si="12"/>
        <v>6106.37982</v>
      </c>
    </row>
    <row r="51" spans="14:16" ht="12.75">
      <c r="N51" s="250">
        <v>2002</v>
      </c>
      <c r="O51" s="222">
        <f t="shared" si="11"/>
        <v>11113.547163000001</v>
      </c>
      <c r="P51" s="222">
        <f t="shared" si="12"/>
        <v>6491.778750848</v>
      </c>
    </row>
    <row r="52" spans="14:16" ht="12.75">
      <c r="N52" s="216">
        <v>2003</v>
      </c>
      <c r="O52" s="222">
        <f t="shared" si="11"/>
        <v>11303.613573</v>
      </c>
      <c r="P52" s="222">
        <f t="shared" si="12"/>
        <v>7071.721837000001</v>
      </c>
    </row>
    <row r="53" spans="14:16" ht="12.75">
      <c r="N53" s="250">
        <v>2004</v>
      </c>
      <c r="O53" s="222">
        <f t="shared" si="11"/>
        <v>12001.305316000002</v>
      </c>
      <c r="P53" s="222">
        <f t="shared" si="12"/>
        <v>7639.345794</v>
      </c>
    </row>
    <row r="54" spans="14:16" ht="12.75">
      <c r="N54" s="216">
        <v>2005</v>
      </c>
      <c r="O54" s="222">
        <f t="shared" si="11"/>
        <v>12914.287800222222</v>
      </c>
      <c r="P54" s="222">
        <f t="shared" si="12"/>
        <v>7787.095080000001</v>
      </c>
    </row>
    <row r="55" spans="14:16" ht="12.75">
      <c r="N55" s="250">
        <v>2006</v>
      </c>
      <c r="O55" s="222">
        <f t="shared" si="11"/>
        <v>14043.638326999999</v>
      </c>
      <c r="P55" s="222">
        <f t="shared" si="12"/>
        <v>8246.422825999998</v>
      </c>
    </row>
    <row r="56" spans="14:16" ht="12.75">
      <c r="N56" s="250">
        <v>2007</v>
      </c>
      <c r="O56" s="222">
        <f t="shared" si="11"/>
        <v>15032.180855</v>
      </c>
      <c r="P56" s="222">
        <f t="shared" si="12"/>
        <v>9689.567698</v>
      </c>
    </row>
    <row r="57" spans="14:16" ht="12.75">
      <c r="N57" s="250">
        <v>2008</v>
      </c>
      <c r="O57" s="222">
        <f t="shared" si="11"/>
        <v>16297.176545</v>
      </c>
      <c r="P57" s="222">
        <f t="shared" si="12"/>
        <v>10667.238051</v>
      </c>
    </row>
    <row r="58" spans="14:16" ht="12.75">
      <c r="N58" s="250">
        <v>2009</v>
      </c>
      <c r="O58" s="222">
        <f t="shared" si="11"/>
        <v>17000.664144999995</v>
      </c>
      <c r="P58" s="222">
        <f t="shared" si="12"/>
        <v>10086.341632</v>
      </c>
    </row>
    <row r="59" spans="14:16" ht="12.75">
      <c r="N59" s="250">
        <v>2010</v>
      </c>
      <c r="O59" s="222">
        <f t="shared" si="11"/>
        <v>18195.325098</v>
      </c>
      <c r="P59" s="222">
        <f t="shared" si="12"/>
        <v>11240.850026</v>
      </c>
    </row>
    <row r="60" spans="14:16" ht="12.75">
      <c r="N60" s="250">
        <v>2011</v>
      </c>
      <c r="O60" s="222">
        <f t="shared" si="11"/>
        <v>19753.0406982511</v>
      </c>
      <c r="P60" s="222">
        <f t="shared" si="12"/>
        <v>12067.310107</v>
      </c>
    </row>
    <row r="61" spans="14:16" ht="12.75">
      <c r="N61" s="250">
        <v>2012</v>
      </c>
      <c r="O61" s="222">
        <f>F31</f>
        <v>20947.295381</v>
      </c>
      <c r="P61" s="222">
        <f>I31</f>
        <v>12700.890554</v>
      </c>
    </row>
    <row r="62" spans="14:16" ht="12.75">
      <c r="N62" s="250">
        <v>2013</v>
      </c>
      <c r="O62" s="222">
        <f>F32</f>
        <v>21935.480477</v>
      </c>
      <c r="P62" s="222">
        <f>I32</f>
        <v>13674.172223</v>
      </c>
    </row>
  </sheetData>
  <sheetProtection/>
  <mergeCells count="5">
    <mergeCell ref="B10:B11"/>
    <mergeCell ref="C10:E10"/>
    <mergeCell ref="F10:H10"/>
    <mergeCell ref="I10:K10"/>
    <mergeCell ref="A6:J6"/>
  </mergeCells>
  <printOptions horizontalCentered="1" verticalCentered="1"/>
  <pageMargins left="0.68" right="0.59" top="1" bottom="1" header="0" footer="0"/>
  <pageSetup fitToHeight="1" fitToWidth="1" horizontalDpi="600" verticalDpi="600" orientation="portrait" paperSize="9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82"/>
  <sheetViews>
    <sheetView view="pageBreakPreview" zoomScaleSheetLayoutView="100" workbookViewId="0" topLeftCell="A1">
      <selection activeCell="A5" sqref="A5"/>
    </sheetView>
  </sheetViews>
  <sheetFormatPr defaultColWidth="11.421875" defaultRowHeight="12.75"/>
  <cols>
    <col min="1" max="1" width="4.57421875" style="0" customWidth="1"/>
    <col min="2" max="2" width="22.140625" style="0" customWidth="1"/>
    <col min="3" max="3" width="15.00390625" style="0" customWidth="1"/>
    <col min="4" max="4" width="13.28125" style="0" customWidth="1"/>
    <col min="5" max="5" width="12.7109375" style="0" customWidth="1"/>
    <col min="6" max="6" width="14.00390625" style="0" customWidth="1"/>
    <col min="7" max="7" width="11.00390625" style="0" customWidth="1"/>
    <col min="8" max="8" width="12.421875" style="0" customWidth="1"/>
    <col min="9" max="9" width="11.7109375" style="0" customWidth="1"/>
    <col min="10" max="10" width="11.00390625" style="0" customWidth="1"/>
    <col min="11" max="11" width="12.28125" style="0" customWidth="1"/>
    <col min="15" max="15" width="13.421875" style="0" bestFit="1" customWidth="1"/>
    <col min="16" max="16" width="12.7109375" style="0" bestFit="1" customWidth="1"/>
  </cols>
  <sheetData>
    <row r="4" ht="18">
      <c r="A4" s="9" t="s">
        <v>301</v>
      </c>
    </row>
    <row r="7" spans="2:11" ht="12.75">
      <c r="B7" s="1070" t="s">
        <v>18</v>
      </c>
      <c r="C7" s="1072" t="s">
        <v>50</v>
      </c>
      <c r="D7" s="1073"/>
      <c r="E7" s="1073"/>
      <c r="F7" s="1072" t="s">
        <v>10</v>
      </c>
      <c r="G7" s="1073"/>
      <c r="H7" s="1073"/>
      <c r="I7" s="1074" t="s">
        <v>11</v>
      </c>
      <c r="J7" s="1073"/>
      <c r="K7" s="1075"/>
    </row>
    <row r="8" spans="2:11" ht="12.75">
      <c r="B8" s="1071"/>
      <c r="C8" s="884" t="s">
        <v>0</v>
      </c>
      <c r="D8" s="885" t="s">
        <v>16</v>
      </c>
      <c r="E8" s="886" t="s">
        <v>17</v>
      </c>
      <c r="F8" s="887" t="s">
        <v>12</v>
      </c>
      <c r="G8" s="885" t="s">
        <v>16</v>
      </c>
      <c r="H8" s="886" t="s">
        <v>17</v>
      </c>
      <c r="I8" s="888" t="s">
        <v>0</v>
      </c>
      <c r="J8" s="885" t="s">
        <v>16</v>
      </c>
      <c r="K8" s="889" t="s">
        <v>17</v>
      </c>
    </row>
    <row r="9" spans="2:11" ht="12.75">
      <c r="B9" s="890"/>
      <c r="C9" s="891"/>
      <c r="D9" s="892"/>
      <c r="E9" s="893"/>
      <c r="F9" s="894"/>
      <c r="G9" s="892"/>
      <c r="H9" s="893"/>
      <c r="I9" s="895"/>
      <c r="J9" s="892"/>
      <c r="K9" s="896"/>
    </row>
    <row r="10" spans="2:13" ht="12.75">
      <c r="B10" s="76">
        <v>1995</v>
      </c>
      <c r="C10" s="77">
        <f>SUM(D10:E10)</f>
        <v>826676.0016897423</v>
      </c>
      <c r="D10" s="78">
        <v>652594.7050503913</v>
      </c>
      <c r="E10" s="79">
        <v>174081.29663935103</v>
      </c>
      <c r="F10" s="80">
        <f aca="true" t="shared" si="0" ref="F10:F19">SUM(G10:H10)</f>
        <v>776779.1913939897</v>
      </c>
      <c r="G10" s="78">
        <v>652594.7050503913</v>
      </c>
      <c r="H10" s="79">
        <v>124184.48634359846</v>
      </c>
      <c r="I10" s="81">
        <f aca="true" t="shared" si="1" ref="I10:I19">SUM(J10:K10)</f>
        <v>49896.81029575256</v>
      </c>
      <c r="J10" s="78"/>
      <c r="K10" s="82">
        <v>49896.81029575256</v>
      </c>
      <c r="L10" s="7"/>
      <c r="M10" s="5"/>
    </row>
    <row r="11" spans="2:13" ht="12.75">
      <c r="B11" s="56">
        <v>1996</v>
      </c>
      <c r="C11" s="57">
        <f>SUM(D11:E11)</f>
        <v>893370.3951408174</v>
      </c>
      <c r="D11" s="40">
        <v>703942.0843935553</v>
      </c>
      <c r="E11" s="39">
        <v>189428.31074726206</v>
      </c>
      <c r="F11" s="83">
        <f t="shared" si="0"/>
        <v>822460.2785926422</v>
      </c>
      <c r="G11" s="40">
        <v>703942.0843935553</v>
      </c>
      <c r="H11" s="39">
        <v>118518.1941990869</v>
      </c>
      <c r="I11" s="38">
        <f t="shared" si="1"/>
        <v>70910.11654817517</v>
      </c>
      <c r="J11" s="40"/>
      <c r="K11" s="59">
        <v>70910.11654817517</v>
      </c>
      <c r="L11" s="7"/>
      <c r="M11" s="5"/>
    </row>
    <row r="12" spans="2:13" ht="12.75">
      <c r="B12" s="56">
        <v>1997</v>
      </c>
      <c r="C12" s="57">
        <f>SUM(D12:E12)</f>
        <v>1019537.5366169369</v>
      </c>
      <c r="D12" s="40">
        <v>739882.0685993778</v>
      </c>
      <c r="E12" s="39">
        <v>279655.46801755915</v>
      </c>
      <c r="F12" s="83">
        <f t="shared" si="0"/>
        <v>859351.6795904302</v>
      </c>
      <c r="G12" s="40">
        <v>739882.0685993778</v>
      </c>
      <c r="H12" s="39">
        <v>119469.61099105242</v>
      </c>
      <c r="I12" s="38">
        <f t="shared" si="1"/>
        <v>160185.8570265067</v>
      </c>
      <c r="J12" s="40"/>
      <c r="K12" s="59">
        <v>160185.8570265067</v>
      </c>
      <c r="L12" s="7"/>
      <c r="M12" s="5"/>
    </row>
    <row r="13" spans="2:13" ht="12.75">
      <c r="B13" s="56">
        <v>1998</v>
      </c>
      <c r="C13" s="57">
        <f aca="true" t="shared" si="2" ref="C13:C19">SUM(D13:E13)</f>
        <v>988144.9705452514</v>
      </c>
      <c r="D13" s="40">
        <v>678887.1489557544</v>
      </c>
      <c r="E13" s="39">
        <v>309257.8215894971</v>
      </c>
      <c r="F13" s="83">
        <f t="shared" si="0"/>
        <v>786060.9996556386</v>
      </c>
      <c r="G13" s="40">
        <v>678887.1489557544</v>
      </c>
      <c r="H13" s="39">
        <v>107173.85069988419</v>
      </c>
      <c r="I13" s="38">
        <f t="shared" si="1"/>
        <v>202083.9708896129</v>
      </c>
      <c r="J13" s="40"/>
      <c r="K13" s="59">
        <v>202083.9708896129</v>
      </c>
      <c r="L13" s="7"/>
      <c r="M13" s="5"/>
    </row>
    <row r="14" spans="2:13" ht="12.75">
      <c r="B14" s="56">
        <v>1999</v>
      </c>
      <c r="C14" s="57">
        <f t="shared" si="2"/>
        <v>991959.3682667302</v>
      </c>
      <c r="D14" s="40">
        <v>670509.978649152</v>
      </c>
      <c r="E14" s="39">
        <v>321449.38961757824</v>
      </c>
      <c r="F14" s="83">
        <f t="shared" si="0"/>
        <v>778389.1398539399</v>
      </c>
      <c r="G14" s="40">
        <v>670509.978649152</v>
      </c>
      <c r="H14" s="39">
        <v>107879.16120478789</v>
      </c>
      <c r="I14" s="38">
        <f t="shared" si="1"/>
        <v>213570.22841279037</v>
      </c>
      <c r="J14" s="40"/>
      <c r="K14" s="59">
        <v>213570.22841279037</v>
      </c>
      <c r="L14" s="7"/>
      <c r="M14" s="5"/>
    </row>
    <row r="15" spans="2:13" ht="12.75">
      <c r="B15" s="56">
        <v>2000</v>
      </c>
      <c r="C15" s="57">
        <f t="shared" si="2"/>
        <v>1113069.5002683792</v>
      </c>
      <c r="D15" s="40">
        <v>740329.4393599222</v>
      </c>
      <c r="E15" s="39">
        <v>372740.06090845715</v>
      </c>
      <c r="F15" s="83">
        <f t="shared" si="0"/>
        <v>866072.136728225</v>
      </c>
      <c r="G15" s="40">
        <v>740329.4393599222</v>
      </c>
      <c r="H15" s="39">
        <v>125742.6973683028</v>
      </c>
      <c r="I15" s="38">
        <f t="shared" si="1"/>
        <v>246997.36354015436</v>
      </c>
      <c r="J15" s="40"/>
      <c r="K15" s="59">
        <v>246997.36354015436</v>
      </c>
      <c r="L15" s="7"/>
      <c r="M15" s="5"/>
    </row>
    <row r="16" spans="2:13" ht="12.75">
      <c r="B16" s="56">
        <v>2001</v>
      </c>
      <c r="C16" s="57">
        <f>SUM(D16:E16)</f>
        <v>1139358.5138385482</v>
      </c>
      <c r="D16" s="40">
        <v>761192.0579289157</v>
      </c>
      <c r="E16" s="39">
        <v>378166.4559096325</v>
      </c>
      <c r="F16" s="83">
        <f>SUM(G16:H16)</f>
        <v>862632.2836858832</v>
      </c>
      <c r="G16" s="40">
        <v>761192.0579289157</v>
      </c>
      <c r="H16" s="39">
        <v>101440.22575696744</v>
      </c>
      <c r="I16" s="38">
        <f t="shared" si="1"/>
        <v>276726.23015266506</v>
      </c>
      <c r="J16" s="41"/>
      <c r="K16" s="59">
        <v>276726.23015266506</v>
      </c>
      <c r="L16" s="7"/>
      <c r="M16" s="5"/>
    </row>
    <row r="17" spans="2:12" ht="12.75">
      <c r="B17" s="56">
        <v>2002</v>
      </c>
      <c r="C17" s="57">
        <f t="shared" si="2"/>
        <v>1157067.1602677335</v>
      </c>
      <c r="D17" s="40">
        <v>764543.090328428</v>
      </c>
      <c r="E17" s="39">
        <v>392524.0699393055</v>
      </c>
      <c r="F17" s="83">
        <f t="shared" si="0"/>
        <v>862228.1175744301</v>
      </c>
      <c r="G17" s="40">
        <v>764543.090328428</v>
      </c>
      <c r="H17" s="39">
        <v>97685.02724600217</v>
      </c>
      <c r="I17" s="38">
        <f t="shared" si="1"/>
        <v>294839.0426933033</v>
      </c>
      <c r="J17" s="41"/>
      <c r="K17" s="59">
        <v>294839.0426933033</v>
      </c>
      <c r="L17" s="7"/>
    </row>
    <row r="18" spans="2:12" ht="12.75">
      <c r="B18" s="56">
        <v>2003</v>
      </c>
      <c r="C18" s="57">
        <f>SUM(D18:E18)</f>
        <v>1217210.1436706816</v>
      </c>
      <c r="D18" s="40">
        <v>811107.1463979532</v>
      </c>
      <c r="E18" s="39">
        <v>406102.9972727285</v>
      </c>
      <c r="F18" s="83">
        <f>SUM(G18:H18)</f>
        <v>901096.172415453</v>
      </c>
      <c r="G18" s="40">
        <v>811107.1463979532</v>
      </c>
      <c r="H18" s="39">
        <v>89989.02601749991</v>
      </c>
      <c r="I18" s="38">
        <f>SUM(J18:K18)</f>
        <v>316113.97125522856</v>
      </c>
      <c r="J18" s="41"/>
      <c r="K18" s="59">
        <v>316113.97125522856</v>
      </c>
      <c r="L18" s="7"/>
    </row>
    <row r="19" spans="2:12" ht="12.75">
      <c r="B19" s="56">
        <v>2004</v>
      </c>
      <c r="C19" s="57">
        <f t="shared" si="2"/>
        <v>1382300.0118101076</v>
      </c>
      <c r="D19" s="40">
        <v>897997.7068505394</v>
      </c>
      <c r="E19" s="39">
        <v>484302.3049595683</v>
      </c>
      <c r="F19" s="83">
        <f t="shared" si="0"/>
        <v>986870.1176782872</v>
      </c>
      <c r="G19" s="40">
        <v>897997.7068505394</v>
      </c>
      <c r="H19" s="39">
        <v>88872.41082774772</v>
      </c>
      <c r="I19" s="38">
        <f t="shared" si="1"/>
        <v>395429.8941318206</v>
      </c>
      <c r="J19" s="41"/>
      <c r="K19" s="59">
        <v>395429.8941318206</v>
      </c>
      <c r="L19" s="7"/>
    </row>
    <row r="20" spans="2:12" ht="12.75">
      <c r="B20" s="56">
        <v>2005</v>
      </c>
      <c r="C20" s="57">
        <f aca="true" t="shared" si="3" ref="C20:C28">SUM(D20:E20)</f>
        <v>1579209.27109638</v>
      </c>
      <c r="D20" s="40">
        <v>1048137.0214944701</v>
      </c>
      <c r="E20" s="39">
        <v>531072.24960191</v>
      </c>
      <c r="F20" s="83">
        <f aca="true" t="shared" si="4" ref="F20:F28">SUM(G20:H20)</f>
        <v>1147775.8928376874</v>
      </c>
      <c r="G20" s="40">
        <v>1048137.0214944701</v>
      </c>
      <c r="H20" s="39">
        <v>99638.87134321743</v>
      </c>
      <c r="I20" s="38">
        <f aca="true" t="shared" si="5" ref="I20:I28">SUM(J20:K20)</f>
        <v>431433.3782586926</v>
      </c>
      <c r="J20" s="41"/>
      <c r="K20" s="59">
        <v>431433.3782586926</v>
      </c>
      <c r="L20" s="7"/>
    </row>
    <row r="21" spans="2:12" ht="12.75">
      <c r="B21" s="56">
        <v>2006</v>
      </c>
      <c r="C21" s="57">
        <f t="shared" si="3"/>
        <v>1683168.9043059072</v>
      </c>
      <c r="D21" s="40">
        <v>1120521.0639498956</v>
      </c>
      <c r="E21" s="39">
        <v>562647.8403560116</v>
      </c>
      <c r="F21" s="83">
        <f t="shared" si="4"/>
        <v>1222413.6377595204</v>
      </c>
      <c r="G21" s="40">
        <v>1120521.0639498956</v>
      </c>
      <c r="H21" s="39">
        <v>101892.57380962497</v>
      </c>
      <c r="I21" s="38">
        <f t="shared" si="5"/>
        <v>460755.2665463867</v>
      </c>
      <c r="J21" s="41"/>
      <c r="K21" s="59">
        <v>460755.2665463867</v>
      </c>
      <c r="L21" s="7"/>
    </row>
    <row r="22" spans="2:12" ht="12.75">
      <c r="B22" s="56">
        <v>2007</v>
      </c>
      <c r="C22" s="57">
        <f t="shared" si="3"/>
        <v>1830631.6634342424</v>
      </c>
      <c r="D22" s="40">
        <v>1213689.4778540342</v>
      </c>
      <c r="E22" s="39">
        <v>616942.1855802081</v>
      </c>
      <c r="F22" s="83">
        <f t="shared" si="4"/>
        <v>1305447.8754961956</v>
      </c>
      <c r="G22" s="40">
        <v>1213689.4778540342</v>
      </c>
      <c r="H22" s="39">
        <v>91758.39764216138</v>
      </c>
      <c r="I22" s="38">
        <f t="shared" si="5"/>
        <v>525183.7879380467</v>
      </c>
      <c r="J22" s="41"/>
      <c r="K22" s="59">
        <v>525183.7879380467</v>
      </c>
      <c r="L22" s="7"/>
    </row>
    <row r="23" spans="2:12" ht="12.75">
      <c r="B23" s="56">
        <v>2008</v>
      </c>
      <c r="C23" s="57">
        <f t="shared" si="3"/>
        <v>2216099.9731833665</v>
      </c>
      <c r="D23" s="40">
        <v>1393393.8557439279</v>
      </c>
      <c r="E23" s="39">
        <v>822706.1174394387</v>
      </c>
      <c r="F23" s="83">
        <f t="shared" si="4"/>
        <v>1501002.7378177985</v>
      </c>
      <c r="G23" s="40">
        <v>1393393.8557439279</v>
      </c>
      <c r="H23" s="39">
        <v>107608.88207387061</v>
      </c>
      <c r="I23" s="38">
        <f t="shared" si="5"/>
        <v>715097.2353655681</v>
      </c>
      <c r="J23" s="41"/>
      <c r="K23" s="59">
        <v>715097.2353655681</v>
      </c>
      <c r="L23" s="7"/>
    </row>
    <row r="24" spans="2:12" ht="12.75">
      <c r="B24" s="56">
        <v>2009</v>
      </c>
      <c r="C24" s="57">
        <f t="shared" si="3"/>
        <v>2236058.1538174003</v>
      </c>
      <c r="D24" s="40">
        <v>1556915.7010486</v>
      </c>
      <c r="E24" s="39">
        <v>679142.4527688001</v>
      </c>
      <c r="F24" s="83">
        <f t="shared" si="4"/>
        <v>1675664.7528214</v>
      </c>
      <c r="G24" s="40">
        <v>1556915.7010486</v>
      </c>
      <c r="H24" s="39">
        <v>118749.05177280001</v>
      </c>
      <c r="I24" s="38">
        <f t="shared" si="5"/>
        <v>560393.400996</v>
      </c>
      <c r="J24" s="41"/>
      <c r="K24" s="59">
        <v>560393.400996</v>
      </c>
      <c r="L24" s="7"/>
    </row>
    <row r="25" spans="2:12" ht="12.75">
      <c r="B25" s="56">
        <v>2010</v>
      </c>
      <c r="C25" s="57">
        <f t="shared" si="3"/>
        <v>2448535.028202959</v>
      </c>
      <c r="D25" s="40">
        <v>1718589.3030064055</v>
      </c>
      <c r="E25" s="39">
        <v>729945.7251965533</v>
      </c>
      <c r="F25" s="83">
        <f t="shared" si="4"/>
        <v>1841104.1163105767</v>
      </c>
      <c r="G25" s="40">
        <v>1718589.3030064055</v>
      </c>
      <c r="H25" s="39">
        <v>122514.81330417127</v>
      </c>
      <c r="I25" s="38">
        <f t="shared" si="5"/>
        <v>607430.911892382</v>
      </c>
      <c r="J25" s="41"/>
      <c r="K25" s="59">
        <v>607430.911892382</v>
      </c>
      <c r="L25" s="7"/>
    </row>
    <row r="26" spans="2:12" ht="12.75">
      <c r="B26" s="56">
        <v>2011</v>
      </c>
      <c r="C26" s="57">
        <f t="shared" si="3"/>
        <v>2860391.5553587964</v>
      </c>
      <c r="D26" s="40">
        <f aca="true" t="shared" si="6" ref="D26:E28">SUM(G26,J26)</f>
        <v>1984402.4158051817</v>
      </c>
      <c r="E26" s="39">
        <f t="shared" si="6"/>
        <v>875989.1395536148</v>
      </c>
      <c r="F26" s="83">
        <f t="shared" si="4"/>
        <v>2130475.7425380684</v>
      </c>
      <c r="G26" s="40">
        <v>1984402.4158051817</v>
      </c>
      <c r="H26" s="39">
        <v>146073.3267328866</v>
      </c>
      <c r="I26" s="40">
        <f t="shared" si="5"/>
        <v>729915.8128207282</v>
      </c>
      <c r="J26" s="179"/>
      <c r="K26" s="58">
        <v>729915.8128207282</v>
      </c>
      <c r="L26" s="7"/>
    </row>
    <row r="27" spans="2:12" ht="12.75">
      <c r="B27" s="180">
        <v>2012</v>
      </c>
      <c r="C27" s="57">
        <f t="shared" si="3"/>
        <v>3299125.499327013</v>
      </c>
      <c r="D27" s="40">
        <f t="shared" si="6"/>
        <v>2313676.253838757</v>
      </c>
      <c r="E27" s="39">
        <f t="shared" si="6"/>
        <v>985449.2454882558</v>
      </c>
      <c r="F27" s="83">
        <f t="shared" si="4"/>
        <v>2474533.5608113473</v>
      </c>
      <c r="G27" s="40">
        <v>2313676.253838757</v>
      </c>
      <c r="H27" s="39">
        <v>160857.30697259022</v>
      </c>
      <c r="I27" s="40">
        <f t="shared" si="5"/>
        <v>824591.9385156656</v>
      </c>
      <c r="J27" s="179"/>
      <c r="K27" s="58">
        <v>824591.9385156656</v>
      </c>
      <c r="L27" s="7"/>
    </row>
    <row r="28" spans="2:12" ht="12.75">
      <c r="B28" s="601">
        <v>2013</v>
      </c>
      <c r="C28" s="57">
        <f t="shared" si="3"/>
        <v>3536226.329451488</v>
      </c>
      <c r="D28" s="40">
        <f t="shared" si="6"/>
        <v>2432390.4404826746</v>
      </c>
      <c r="E28" s="39">
        <f t="shared" si="6"/>
        <v>1103835.8889688132</v>
      </c>
      <c r="F28" s="83">
        <f t="shared" si="4"/>
        <v>2617666.037743001</v>
      </c>
      <c r="G28" s="40">
        <v>2432390.4404826746</v>
      </c>
      <c r="H28" s="39">
        <v>185275.59726032626</v>
      </c>
      <c r="I28" s="40">
        <f t="shared" si="5"/>
        <v>918560.2917084871</v>
      </c>
      <c r="J28" s="179"/>
      <c r="K28" s="58">
        <v>918560.2917084871</v>
      </c>
      <c r="L28" s="7"/>
    </row>
    <row r="29" spans="2:12" ht="13.5" thickBot="1">
      <c r="B29" s="187"/>
      <c r="C29" s="864"/>
      <c r="D29" s="40"/>
      <c r="E29" s="1000"/>
      <c r="F29" s="39"/>
      <c r="G29" s="40"/>
      <c r="H29" s="999"/>
      <c r="I29" s="998"/>
      <c r="J29" s="1001"/>
      <c r="K29" s="59"/>
      <c r="L29" s="7"/>
    </row>
    <row r="30" spans="2:11" ht="12.75">
      <c r="B30" s="213" t="s">
        <v>254</v>
      </c>
      <c r="C30" s="117">
        <f>(C28/C27)-1</f>
        <v>0.0718677813780777</v>
      </c>
      <c r="D30" s="117">
        <f aca="true" t="shared" si="7" ref="D30:I30">(D28/D27)-1</f>
        <v>0.05130976576647317</v>
      </c>
      <c r="E30" s="117">
        <f t="shared" si="7"/>
        <v>0.12013469392013287</v>
      </c>
      <c r="F30" s="117">
        <f t="shared" si="7"/>
        <v>0.05784220476877411</v>
      </c>
      <c r="G30" s="117">
        <f t="shared" si="7"/>
        <v>0.05130976576647317</v>
      </c>
      <c r="H30" s="117">
        <f t="shared" si="7"/>
        <v>0.1518009392753099</v>
      </c>
      <c r="I30" s="466">
        <f t="shared" si="7"/>
        <v>0.11395739978003228</v>
      </c>
      <c r="J30" s="134"/>
      <c r="K30" s="181">
        <f>(K28/K27)-1</f>
        <v>0.11395739978003228</v>
      </c>
    </row>
    <row r="31" spans="2:11" ht="12.75">
      <c r="B31" s="154" t="s">
        <v>255</v>
      </c>
      <c r="C31" s="110">
        <f>((C28/C23)^(1/5))-1</f>
        <v>0.09796915813324891</v>
      </c>
      <c r="D31" s="84">
        <f aca="true" t="shared" si="8" ref="D31:I31">((D28/D23)^(1/5))-1</f>
        <v>0.11787148802164737</v>
      </c>
      <c r="E31" s="84">
        <f t="shared" si="8"/>
        <v>0.06055197413507263</v>
      </c>
      <c r="F31" s="84">
        <f t="shared" si="8"/>
        <v>0.11765187438765312</v>
      </c>
      <c r="G31" s="84">
        <f t="shared" si="8"/>
        <v>0.11787148802164737</v>
      </c>
      <c r="H31" s="84">
        <f t="shared" si="8"/>
        <v>0.11479245436137342</v>
      </c>
      <c r="I31" s="467">
        <f t="shared" si="8"/>
        <v>0.05135289202880333</v>
      </c>
      <c r="J31" s="135"/>
      <c r="K31" s="123">
        <f>((K28/K23)^(1/5))-1</f>
        <v>0.05135289202880333</v>
      </c>
    </row>
    <row r="32" spans="2:12" ht="12.75">
      <c r="B32" s="215" t="s">
        <v>256</v>
      </c>
      <c r="C32" s="119">
        <f>+C28/C15-1</f>
        <v>2.1770040672202824</v>
      </c>
      <c r="D32" s="119">
        <f aca="true" t="shared" si="9" ref="D32:I32">+D28/D15-1</f>
        <v>2.2855514196297304</v>
      </c>
      <c r="E32" s="119">
        <f t="shared" si="9"/>
        <v>1.9614093163973298</v>
      </c>
      <c r="F32" s="119">
        <f t="shared" si="9"/>
        <v>2.0224572835604673</v>
      </c>
      <c r="G32" s="119">
        <f t="shared" si="9"/>
        <v>2.2855514196297304</v>
      </c>
      <c r="H32" s="119">
        <f t="shared" si="9"/>
        <v>0.47345015764733</v>
      </c>
      <c r="I32" s="120">
        <f t="shared" si="9"/>
        <v>2.71890727311005</v>
      </c>
      <c r="J32" s="136"/>
      <c r="K32" s="116">
        <f>+K28/K15-1</f>
        <v>2.71890727311005</v>
      </c>
      <c r="L32" s="133"/>
    </row>
    <row r="33" spans="2:12" ht="13.5" thickBot="1">
      <c r="B33" s="398" t="s">
        <v>257</v>
      </c>
      <c r="C33" s="118">
        <f>((C28/C15)^(1/13))-1</f>
        <v>0.09299141712232362</v>
      </c>
      <c r="D33" s="182">
        <f aca="true" t="shared" si="10" ref="D33:I33">((D28/D15)^(1/13))-1</f>
        <v>0.0958196846322128</v>
      </c>
      <c r="E33" s="182">
        <f t="shared" si="10"/>
        <v>0.08709903603285674</v>
      </c>
      <c r="F33" s="182">
        <f t="shared" si="10"/>
        <v>0.08880669446327061</v>
      </c>
      <c r="G33" s="182">
        <f t="shared" si="10"/>
        <v>0.0958196846322128</v>
      </c>
      <c r="H33" s="182">
        <f t="shared" si="10"/>
        <v>0.030264844481547426</v>
      </c>
      <c r="I33" s="399">
        <f t="shared" si="10"/>
        <v>0.10631322449843816</v>
      </c>
      <c r="J33" s="136"/>
      <c r="K33" s="162">
        <f>((K28/K15)^(1/13))-1</f>
        <v>0.10631322449843816</v>
      </c>
      <c r="L33" s="133"/>
    </row>
    <row r="34" spans="2:3" ht="12.75">
      <c r="B34" s="8"/>
      <c r="C34" s="75"/>
    </row>
    <row r="35" ht="12.75">
      <c r="B35" s="74"/>
    </row>
    <row r="39" spans="14:16" ht="12.75">
      <c r="N39" s="112"/>
      <c r="O39" s="3" t="s">
        <v>8</v>
      </c>
      <c r="P39" s="3" t="s">
        <v>9</v>
      </c>
    </row>
    <row r="40" spans="14:16" ht="12.75">
      <c r="N40" s="113">
        <v>1995</v>
      </c>
      <c r="O40" s="114">
        <v>652594.7050503913</v>
      </c>
      <c r="P40" s="114">
        <v>174081.29663935103</v>
      </c>
    </row>
    <row r="41" spans="14:16" ht="12.75">
      <c r="N41" s="113">
        <v>1996</v>
      </c>
      <c r="O41" s="114">
        <v>703942.0843935553</v>
      </c>
      <c r="P41" s="114">
        <v>189428.31074726206</v>
      </c>
    </row>
    <row r="42" spans="14:16" ht="12.75">
      <c r="N42" s="113">
        <v>1997</v>
      </c>
      <c r="O42" s="114">
        <v>739882.0685993778</v>
      </c>
      <c r="P42" s="114">
        <v>279655.46801755915</v>
      </c>
    </row>
    <row r="43" spans="14:16" ht="12.75">
      <c r="N43" s="113">
        <v>1998</v>
      </c>
      <c r="O43" s="114">
        <v>678887.1489557544</v>
      </c>
      <c r="P43" s="114">
        <v>309257.8215894971</v>
      </c>
    </row>
    <row r="44" spans="14:16" ht="12.75">
      <c r="N44" s="113">
        <v>1999</v>
      </c>
      <c r="O44" s="114">
        <v>670509.978649152</v>
      </c>
      <c r="P44" s="114">
        <v>321449.38961757824</v>
      </c>
    </row>
    <row r="45" spans="14:16" ht="12.75">
      <c r="N45" s="113">
        <v>2000</v>
      </c>
      <c r="O45" s="114">
        <v>740329.4393599222</v>
      </c>
      <c r="P45" s="114">
        <v>372740.06090845715</v>
      </c>
    </row>
    <row r="46" spans="14:16" ht="12.75">
      <c r="N46" s="113">
        <v>2001</v>
      </c>
      <c r="O46" s="114">
        <v>761192.0579289157</v>
      </c>
      <c r="P46" s="114">
        <v>378166.4559096325</v>
      </c>
    </row>
    <row r="47" spans="14:16" ht="12.75">
      <c r="N47" s="113">
        <v>2002</v>
      </c>
      <c r="O47" s="114">
        <v>764543.090328428</v>
      </c>
      <c r="P47" s="114">
        <v>392524.0699393055</v>
      </c>
    </row>
    <row r="48" spans="14:16" ht="12.75">
      <c r="N48" s="113">
        <v>2003</v>
      </c>
      <c r="O48" s="114">
        <v>811107.1463979532</v>
      </c>
      <c r="P48" s="114">
        <v>406102.9972727285</v>
      </c>
    </row>
    <row r="49" spans="14:16" ht="12.75">
      <c r="N49" s="113">
        <v>2004</v>
      </c>
      <c r="O49" s="114">
        <v>897997.7068505394</v>
      </c>
      <c r="P49" s="114">
        <v>484302.3049595683</v>
      </c>
    </row>
    <row r="50" spans="14:16" ht="12.75">
      <c r="N50" s="113">
        <v>2005</v>
      </c>
      <c r="O50" s="114">
        <v>1048137.0214944701</v>
      </c>
      <c r="P50" s="114">
        <v>531072.24960191</v>
      </c>
    </row>
    <row r="51" spans="14:16" ht="12.75">
      <c r="N51" s="113">
        <v>2006</v>
      </c>
      <c r="O51" s="114">
        <v>1120521.0639498956</v>
      </c>
      <c r="P51" s="114">
        <v>562647.8403560116</v>
      </c>
    </row>
    <row r="52" spans="14:16" ht="12.75">
      <c r="N52" s="113">
        <v>2007</v>
      </c>
      <c r="O52" s="114">
        <v>1213689.4778540342</v>
      </c>
      <c r="P52" s="114">
        <v>616942.1855802081</v>
      </c>
    </row>
    <row r="53" spans="14:16" ht="12.75">
      <c r="N53" s="113">
        <v>2008</v>
      </c>
      <c r="O53" s="114">
        <v>1393393.8557439279</v>
      </c>
      <c r="P53" s="114">
        <v>822706.1174394387</v>
      </c>
    </row>
    <row r="54" spans="14:16" ht="12.75">
      <c r="N54" s="113">
        <v>2009</v>
      </c>
      <c r="O54" s="114">
        <v>1556915.7010486</v>
      </c>
      <c r="P54" s="114">
        <v>679142.4527688001</v>
      </c>
    </row>
    <row r="55" spans="14:16" ht="12.75">
      <c r="N55" s="113">
        <v>2010</v>
      </c>
      <c r="O55" s="114">
        <v>1718589.3030064055</v>
      </c>
      <c r="P55" s="114">
        <v>729945.7251965533</v>
      </c>
    </row>
    <row r="56" spans="14:16" ht="12.75">
      <c r="N56" s="113">
        <v>2011</v>
      </c>
      <c r="O56" s="114">
        <f aca="true" t="shared" si="11" ref="O56:P58">D26</f>
        <v>1984402.4158051817</v>
      </c>
      <c r="P56" s="114">
        <f t="shared" si="11"/>
        <v>875989.1395536148</v>
      </c>
    </row>
    <row r="57" spans="14:16" ht="12.75">
      <c r="N57" s="113">
        <v>2012</v>
      </c>
      <c r="O57" s="114">
        <f t="shared" si="11"/>
        <v>2313676.253838757</v>
      </c>
      <c r="P57" s="114">
        <f t="shared" si="11"/>
        <v>985449.2454882558</v>
      </c>
    </row>
    <row r="58" spans="14:16" ht="12.75">
      <c r="N58" s="113">
        <v>2013</v>
      </c>
      <c r="O58" s="114">
        <f t="shared" si="11"/>
        <v>2432390.4404826746</v>
      </c>
      <c r="P58" s="114">
        <f t="shared" si="11"/>
        <v>1103835.8889688132</v>
      </c>
    </row>
    <row r="63" spans="14:16" ht="12.75">
      <c r="N63" s="112"/>
      <c r="O63" s="121" t="s">
        <v>10</v>
      </c>
      <c r="P63" s="121" t="s">
        <v>11</v>
      </c>
    </row>
    <row r="64" spans="14:16" ht="12.75">
      <c r="N64" s="113">
        <v>1995</v>
      </c>
      <c r="O64" s="114">
        <v>776779.1913939897</v>
      </c>
      <c r="P64" s="114">
        <v>49896.81029575256</v>
      </c>
    </row>
    <row r="65" spans="14:16" ht="12.75">
      <c r="N65" s="113">
        <v>1996</v>
      </c>
      <c r="O65" s="114">
        <v>822460.2785926422</v>
      </c>
      <c r="P65" s="114">
        <v>70910.11654817517</v>
      </c>
    </row>
    <row r="66" spans="14:16" ht="12.75">
      <c r="N66" s="113">
        <v>1997</v>
      </c>
      <c r="O66" s="114">
        <v>859351.6795904302</v>
      </c>
      <c r="P66" s="114">
        <v>160185.8570265067</v>
      </c>
    </row>
    <row r="67" spans="14:16" ht="12.75">
      <c r="N67" s="113">
        <v>1998</v>
      </c>
      <c r="O67" s="114">
        <v>786060.9996556386</v>
      </c>
      <c r="P67" s="114">
        <v>202083.9708896129</v>
      </c>
    </row>
    <row r="68" spans="14:16" ht="12.75">
      <c r="N68" s="113">
        <v>1999</v>
      </c>
      <c r="O68" s="114">
        <v>778389.1398539399</v>
      </c>
      <c r="P68" s="114">
        <v>213570.22841279037</v>
      </c>
    </row>
    <row r="69" spans="14:16" ht="12.75">
      <c r="N69" s="113">
        <v>2000</v>
      </c>
      <c r="O69" s="114">
        <v>866072.136728225</v>
      </c>
      <c r="P69" s="114">
        <v>246997.36354015436</v>
      </c>
    </row>
    <row r="70" spans="14:16" ht="12.75">
      <c r="N70" s="113">
        <v>2001</v>
      </c>
      <c r="O70" s="114">
        <v>862632.2836858832</v>
      </c>
      <c r="P70" s="114">
        <v>276726.23015266506</v>
      </c>
    </row>
    <row r="71" spans="14:16" ht="12.75">
      <c r="N71" s="113">
        <v>2002</v>
      </c>
      <c r="O71" s="114">
        <v>862228.1175744301</v>
      </c>
      <c r="P71" s="114">
        <v>294839.0426933033</v>
      </c>
    </row>
    <row r="72" spans="14:16" ht="12.75">
      <c r="N72" s="113">
        <v>2003</v>
      </c>
      <c r="O72" s="114">
        <v>901096.172415453</v>
      </c>
      <c r="P72" s="114">
        <v>316113.97125522856</v>
      </c>
    </row>
    <row r="73" spans="14:16" ht="12.75">
      <c r="N73" s="113">
        <v>2004</v>
      </c>
      <c r="O73" s="114">
        <v>986870.1176782872</v>
      </c>
      <c r="P73" s="114">
        <v>395429.8941318206</v>
      </c>
    </row>
    <row r="74" spans="14:16" ht="12.75">
      <c r="N74" s="113">
        <v>2005</v>
      </c>
      <c r="O74" s="114">
        <v>1147775.8928376874</v>
      </c>
      <c r="P74" s="114">
        <v>431433.3782586926</v>
      </c>
    </row>
    <row r="75" spans="14:16" ht="12.75">
      <c r="N75" s="113">
        <v>2006</v>
      </c>
      <c r="O75" s="114">
        <v>1222413.6377595204</v>
      </c>
      <c r="P75" s="114">
        <v>460755.2665463867</v>
      </c>
    </row>
    <row r="76" spans="14:16" ht="12.75">
      <c r="N76" s="113">
        <v>2007</v>
      </c>
      <c r="O76" s="114">
        <v>1305447.8754961956</v>
      </c>
      <c r="P76" s="114">
        <v>525183.7879380467</v>
      </c>
    </row>
    <row r="77" spans="14:16" ht="12.75">
      <c r="N77" s="113">
        <v>2008</v>
      </c>
      <c r="O77" s="114">
        <v>1501002.7378177985</v>
      </c>
      <c r="P77" s="114">
        <v>715097.2353655681</v>
      </c>
    </row>
    <row r="78" spans="14:16" ht="12.75">
      <c r="N78" s="113">
        <v>2009</v>
      </c>
      <c r="O78" s="114">
        <v>1675664.7528214</v>
      </c>
      <c r="P78" s="114">
        <v>560393.400996</v>
      </c>
    </row>
    <row r="79" spans="14:16" ht="12.75">
      <c r="N79" s="113">
        <v>2010</v>
      </c>
      <c r="O79" s="114">
        <v>1841104.1163105767</v>
      </c>
      <c r="P79" s="114">
        <v>607430.911892382</v>
      </c>
    </row>
    <row r="80" spans="14:16" ht="12.75">
      <c r="N80" s="113">
        <v>2011</v>
      </c>
      <c r="O80" s="114">
        <f>F26</f>
        <v>2130475.7425380684</v>
      </c>
      <c r="P80" s="114">
        <f>I26</f>
        <v>729915.8128207282</v>
      </c>
    </row>
    <row r="81" spans="14:16" ht="12.75">
      <c r="N81" s="113">
        <v>2012</v>
      </c>
      <c r="O81" s="114">
        <f>F27</f>
        <v>2474533.5608113473</v>
      </c>
      <c r="P81" s="114">
        <f>I27</f>
        <v>824591.9385156656</v>
      </c>
    </row>
    <row r="82" spans="14:16" ht="12.75">
      <c r="N82" s="113">
        <v>2013</v>
      </c>
      <c r="O82" s="114">
        <f>F28</f>
        <v>2617666.037743001</v>
      </c>
      <c r="P82" s="114">
        <f>I28</f>
        <v>918560.2917084871</v>
      </c>
    </row>
  </sheetData>
  <sheetProtection/>
  <mergeCells count="4">
    <mergeCell ref="B7:B8"/>
    <mergeCell ref="C7:E7"/>
    <mergeCell ref="F7:H7"/>
    <mergeCell ref="I7:K7"/>
  </mergeCells>
  <printOptions horizontalCentered="1" verticalCentered="1"/>
  <pageMargins left="0.76" right="0.44" top="1" bottom="1" header="0" footer="0"/>
  <pageSetup fitToHeight="1" fitToWidth="1" horizontalDpi="600" verticalDpi="600" orientation="portrait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6:V61"/>
  <sheetViews>
    <sheetView view="pageBreakPreview" zoomScaleNormal="75" zoomScaleSheetLayoutView="100" zoomScalePageLayoutView="0" workbookViewId="0" topLeftCell="A1">
      <selection activeCell="A6" sqref="A6"/>
    </sheetView>
  </sheetViews>
  <sheetFormatPr defaultColWidth="11.421875" defaultRowHeight="12.75"/>
  <cols>
    <col min="1" max="1" width="5.7109375" style="0" customWidth="1"/>
    <col min="2" max="2" width="22.140625" style="0" customWidth="1"/>
    <col min="3" max="3" width="15.00390625" style="0" customWidth="1"/>
    <col min="4" max="4" width="13.28125" style="0" customWidth="1"/>
    <col min="5" max="5" width="12.7109375" style="0" customWidth="1"/>
    <col min="6" max="6" width="14.00390625" style="0" customWidth="1"/>
    <col min="7" max="7" width="11.00390625" style="0" customWidth="1"/>
    <col min="8" max="8" width="12.421875" style="0" customWidth="1"/>
    <col min="9" max="9" width="11.7109375" style="0" customWidth="1"/>
    <col min="10" max="10" width="11.00390625" style="0" customWidth="1"/>
    <col min="11" max="11" width="12.28125" style="0" customWidth="1"/>
    <col min="19" max="19" width="11.8515625" style="0" bestFit="1" customWidth="1"/>
    <col min="20" max="22" width="12.8515625" style="0" bestFit="1" customWidth="1"/>
  </cols>
  <sheetData>
    <row r="6" ht="18">
      <c r="A6" s="9" t="s">
        <v>302</v>
      </c>
    </row>
    <row r="8" spans="3:11" ht="15">
      <c r="C8" s="1"/>
      <c r="D8" s="1"/>
      <c r="E8" s="1"/>
      <c r="F8" s="1"/>
      <c r="G8" s="1"/>
      <c r="H8" s="2"/>
      <c r="I8" s="2"/>
      <c r="J8" s="2"/>
      <c r="K8" s="2"/>
    </row>
    <row r="10" spans="2:11" ht="12.75">
      <c r="B10" s="1076" t="s">
        <v>18</v>
      </c>
      <c r="C10" s="1078" t="s">
        <v>50</v>
      </c>
      <c r="D10" s="1079"/>
      <c r="E10" s="1079"/>
      <c r="F10" s="1078" t="s">
        <v>10</v>
      </c>
      <c r="G10" s="1079"/>
      <c r="H10" s="1079"/>
      <c r="I10" s="1080" t="s">
        <v>11</v>
      </c>
      <c r="J10" s="1079"/>
      <c r="K10" s="1081"/>
    </row>
    <row r="11" spans="2:11" ht="12.75">
      <c r="B11" s="1077"/>
      <c r="C11" s="963" t="s">
        <v>0</v>
      </c>
      <c r="D11" s="964" t="s">
        <v>16</v>
      </c>
      <c r="E11" s="965" t="s">
        <v>17</v>
      </c>
      <c r="F11" s="966" t="s">
        <v>12</v>
      </c>
      <c r="G11" s="967" t="s">
        <v>16</v>
      </c>
      <c r="H11" s="965" t="s">
        <v>17</v>
      </c>
      <c r="I11" s="968" t="s">
        <v>0</v>
      </c>
      <c r="J11" s="964" t="s">
        <v>16</v>
      </c>
      <c r="K11" s="969" t="s">
        <v>17</v>
      </c>
    </row>
    <row r="12" spans="2:21" ht="12.75">
      <c r="B12" s="970"/>
      <c r="C12" s="971"/>
      <c r="D12" s="972"/>
      <c r="E12" s="973"/>
      <c r="F12" s="974"/>
      <c r="G12" s="975"/>
      <c r="H12" s="973"/>
      <c r="I12" s="976"/>
      <c r="J12" s="972"/>
      <c r="K12" s="977"/>
      <c r="O12" t="s">
        <v>8</v>
      </c>
      <c r="P12" t="s">
        <v>9</v>
      </c>
      <c r="U12" s="113">
        <v>2013</v>
      </c>
    </row>
    <row r="13" spans="2:22" ht="12.75">
      <c r="B13" s="397"/>
      <c r="C13" s="57"/>
      <c r="D13" s="42"/>
      <c r="E13" s="468"/>
      <c r="F13" s="469"/>
      <c r="G13" s="470"/>
      <c r="H13" s="468"/>
      <c r="I13" s="471"/>
      <c r="J13" s="42"/>
      <c r="K13" s="472"/>
      <c r="T13" t="s">
        <v>66</v>
      </c>
      <c r="U13" t="s">
        <v>16</v>
      </c>
      <c r="V13" t="s">
        <v>17</v>
      </c>
    </row>
    <row r="14" spans="2:22" ht="12.75">
      <c r="B14" s="473">
        <v>1995</v>
      </c>
      <c r="C14" s="474">
        <v>8.393283624126928</v>
      </c>
      <c r="D14" s="475">
        <f>G14</f>
        <v>10.148610371781364</v>
      </c>
      <c r="E14" s="476">
        <v>5.091776878835866</v>
      </c>
      <c r="F14" s="477">
        <v>8.955560685264611</v>
      </c>
      <c r="G14" s="478">
        <v>10.148610371781364</v>
      </c>
      <c r="H14" s="476">
        <v>5.535737559334477</v>
      </c>
      <c r="I14" s="479">
        <f>K14</f>
        <v>4.2445573090579085</v>
      </c>
      <c r="J14" s="475"/>
      <c r="K14" s="480">
        <f>'[4]desagregados'!B71</f>
        <v>4.2445573090579085</v>
      </c>
      <c r="L14" s="7"/>
      <c r="M14" s="19"/>
      <c r="N14" s="20">
        <v>95</v>
      </c>
      <c r="O14" s="4">
        <v>10.148610371781364</v>
      </c>
      <c r="P14" s="4">
        <v>5.091776878835866</v>
      </c>
      <c r="S14" t="s">
        <v>67</v>
      </c>
      <c r="T14" s="491"/>
      <c r="U14" s="491"/>
      <c r="V14" s="491"/>
    </row>
    <row r="15" spans="2:22" ht="12.75">
      <c r="B15" s="481">
        <v>1996</v>
      </c>
      <c r="C15" s="482">
        <v>8.647606873247458</v>
      </c>
      <c r="D15" s="483">
        <f aca="true" t="shared" si="0" ref="D15:D32">G15</f>
        <v>10.37984664865154</v>
      </c>
      <c r="E15" s="484">
        <v>5.337476550474294</v>
      </c>
      <c r="F15" s="485">
        <v>9.377457321378525</v>
      </c>
      <c r="G15" s="486">
        <v>10.37984664865154</v>
      </c>
      <c r="H15" s="484">
        <v>5.959296987167691</v>
      </c>
      <c r="I15" s="487">
        <f aca="true" t="shared" si="1" ref="I15:I29">K15</f>
        <v>4.5448535324028105</v>
      </c>
      <c r="J15" s="483"/>
      <c r="K15" s="488">
        <f>'[4]desagregados'!B72</f>
        <v>4.5448535324028105</v>
      </c>
      <c r="L15" s="7"/>
      <c r="M15" s="19"/>
      <c r="N15" s="20">
        <v>96</v>
      </c>
      <c r="O15" s="4">
        <v>10.37984664865154</v>
      </c>
      <c r="P15" s="4">
        <v>5.337476550474294</v>
      </c>
      <c r="S15" t="s">
        <v>68</v>
      </c>
      <c r="T15" s="491"/>
      <c r="U15" s="491"/>
      <c r="V15" s="491"/>
    </row>
    <row r="16" spans="2:22" ht="12.75">
      <c r="B16" s="473">
        <v>1997</v>
      </c>
      <c r="C16" s="474">
        <v>8.188247454393998</v>
      </c>
      <c r="D16" s="475">
        <f t="shared" si="0"/>
        <v>10.146978053246057</v>
      </c>
      <c r="E16" s="476">
        <v>5.42012003110907</v>
      </c>
      <c r="F16" s="477">
        <v>9.163588512282493</v>
      </c>
      <c r="G16" s="478">
        <v>10.146978053246057</v>
      </c>
      <c r="H16" s="476">
        <v>5.726537264889491</v>
      </c>
      <c r="I16" s="479">
        <f t="shared" si="1"/>
        <v>5.212117520815096</v>
      </c>
      <c r="J16" s="475"/>
      <c r="K16" s="480">
        <f>'[4]desagregados'!B73</f>
        <v>5.212117520815096</v>
      </c>
      <c r="L16" s="7"/>
      <c r="M16" s="19"/>
      <c r="N16" s="20">
        <v>97</v>
      </c>
      <c r="O16" s="4">
        <v>10.146978053246059</v>
      </c>
      <c r="P16" s="4">
        <v>5.42012003110907</v>
      </c>
      <c r="T16" s="492"/>
      <c r="U16" s="492"/>
      <c r="V16" s="492"/>
    </row>
    <row r="17" spans="2:16" ht="12.75">
      <c r="B17" s="481">
        <v>1998</v>
      </c>
      <c r="C17" s="482">
        <v>7.053856955139542</v>
      </c>
      <c r="D17" s="483">
        <f t="shared" si="0"/>
        <v>8.753240333635766</v>
      </c>
      <c r="E17" s="484">
        <v>4.94595784965148</v>
      </c>
      <c r="F17" s="485">
        <v>7.957160935688618</v>
      </c>
      <c r="G17" s="486">
        <v>8.753240333635766</v>
      </c>
      <c r="H17" s="484">
        <v>5.048646397780676</v>
      </c>
      <c r="I17" s="487">
        <f t="shared" si="1"/>
        <v>4.8931747664703975</v>
      </c>
      <c r="J17" s="483"/>
      <c r="K17" s="488">
        <f>'[4]desagregados'!B74</f>
        <v>4.8931747664703975</v>
      </c>
      <c r="L17" s="7"/>
      <c r="M17" s="19"/>
      <c r="N17" s="20">
        <v>98</v>
      </c>
      <c r="O17" s="4">
        <v>8.753240333635766</v>
      </c>
      <c r="P17" s="4">
        <v>4.94595784965148</v>
      </c>
    </row>
    <row r="18" spans="2:21" ht="12.75">
      <c r="B18" s="473">
        <v>1999</v>
      </c>
      <c r="C18" s="474">
        <v>6.797971094322021</v>
      </c>
      <c r="D18" s="475">
        <f t="shared" si="0"/>
        <v>8.306642636464446</v>
      </c>
      <c r="E18" s="476">
        <v>4.930191581893625</v>
      </c>
      <c r="F18" s="477">
        <v>7.632021028288909</v>
      </c>
      <c r="G18" s="478">
        <v>8.306642636464446</v>
      </c>
      <c r="H18" s="476">
        <v>5.071850676679181</v>
      </c>
      <c r="I18" s="479">
        <f t="shared" si="1"/>
        <v>4.861602607536183</v>
      </c>
      <c r="J18" s="475"/>
      <c r="K18" s="480">
        <f>'[4]desagregados'!B75</f>
        <v>4.861602607536183</v>
      </c>
      <c r="L18" s="7"/>
      <c r="M18" s="19"/>
      <c r="N18" s="20">
        <v>99</v>
      </c>
      <c r="O18" s="4">
        <v>8.306642636464446</v>
      </c>
      <c r="P18" s="4">
        <v>4.930191581893625</v>
      </c>
      <c r="U18" s="113"/>
    </row>
    <row r="19" spans="2:16" ht="12.75">
      <c r="B19" s="481">
        <v>2000</v>
      </c>
      <c r="C19" s="482">
        <v>7.1600313284956645</v>
      </c>
      <c r="D19" s="483">
        <f t="shared" si="0"/>
        <v>8.806339535814676</v>
      </c>
      <c r="E19" s="484">
        <v>5.221314050501441</v>
      </c>
      <c r="F19" s="485">
        <v>8.0465527241033</v>
      </c>
      <c r="G19" s="486">
        <v>8.806339535814676</v>
      </c>
      <c r="H19" s="484">
        <v>5.3360143471179855</v>
      </c>
      <c r="I19" s="487">
        <f t="shared" si="1"/>
        <v>5.164795484263344</v>
      </c>
      <c r="J19" s="489"/>
      <c r="K19" s="488">
        <f>'[4]desagregados'!B76</f>
        <v>5.164795484263344</v>
      </c>
      <c r="L19" s="7"/>
      <c r="M19" s="19"/>
      <c r="N19" s="20" t="s">
        <v>266</v>
      </c>
      <c r="O19" s="4">
        <v>8.806339535814676</v>
      </c>
      <c r="P19" s="4">
        <v>5.221314050501441</v>
      </c>
    </row>
    <row r="20" spans="2:22" ht="12.75">
      <c r="B20" s="473">
        <v>2001</v>
      </c>
      <c r="C20" s="474">
        <v>6.851718186751588</v>
      </c>
      <c r="D20" s="475">
        <f t="shared" si="0"/>
        <v>8.794973611182401</v>
      </c>
      <c r="E20" s="476">
        <v>4.742553278942958</v>
      </c>
      <c r="F20" s="477">
        <v>8.198076063917068</v>
      </c>
      <c r="G20" s="478">
        <v>8.794973611182401</v>
      </c>
      <c r="H20" s="476">
        <v>5.431810353536078</v>
      </c>
      <c r="I20" s="479">
        <f t="shared" si="1"/>
        <v>4.531755939031402</v>
      </c>
      <c r="J20" s="490"/>
      <c r="K20" s="480">
        <f>'[4]desagregados'!B77</f>
        <v>4.531755939031402</v>
      </c>
      <c r="L20" s="7"/>
      <c r="M20" s="19"/>
      <c r="N20" s="20" t="s">
        <v>267</v>
      </c>
      <c r="O20" s="4">
        <v>8.79492608729062</v>
      </c>
      <c r="P20" s="4">
        <v>4.742553278942958</v>
      </c>
      <c r="T20" s="491"/>
      <c r="U20" s="491"/>
      <c r="V20" s="491"/>
    </row>
    <row r="21" spans="2:22" ht="12.75">
      <c r="B21" s="481">
        <v>2002</v>
      </c>
      <c r="C21" s="482">
        <v>6.572256406554834</v>
      </c>
      <c r="D21" s="483">
        <f t="shared" si="0"/>
        <v>8.290526011852268</v>
      </c>
      <c r="E21" s="484">
        <v>4.68213770720213</v>
      </c>
      <c r="F21" s="485">
        <v>7.758352080828165</v>
      </c>
      <c r="G21" s="486">
        <v>8.290526011852268</v>
      </c>
      <c r="H21" s="484">
        <v>5.163988884999389</v>
      </c>
      <c r="I21" s="487">
        <f t="shared" si="1"/>
        <v>4.541729686255704</v>
      </c>
      <c r="J21" s="489"/>
      <c r="K21" s="488">
        <f>'[4]desagregados'!B78</f>
        <v>4.541729686255704</v>
      </c>
      <c r="L21" s="7"/>
      <c r="M21" s="19"/>
      <c r="N21" s="20" t="s">
        <v>268</v>
      </c>
      <c r="O21" s="4">
        <v>8.29052601185227</v>
      </c>
      <c r="P21" s="4">
        <v>4.68213770720213</v>
      </c>
      <c r="T21" s="491"/>
      <c r="U21" s="491"/>
      <c r="V21" s="491"/>
    </row>
    <row r="22" spans="2:22" ht="12.75">
      <c r="B22" s="473">
        <v>2003</v>
      </c>
      <c r="C22" s="474">
        <v>6.624151976068238</v>
      </c>
      <c r="D22" s="475">
        <f t="shared" si="0"/>
        <v>8.439546821933085</v>
      </c>
      <c r="E22" s="476">
        <v>4.633474888499332</v>
      </c>
      <c r="F22" s="477">
        <v>7.971753161907678</v>
      </c>
      <c r="G22" s="478">
        <v>8.439546821933085</v>
      </c>
      <c r="H22" s="476">
        <v>5.315913767730283</v>
      </c>
      <c r="I22" s="479">
        <f t="shared" si="1"/>
        <v>4.470113199324197</v>
      </c>
      <c r="J22" s="490"/>
      <c r="K22" s="480">
        <f>'[4]desagregados'!B79</f>
        <v>4.470113199324197</v>
      </c>
      <c r="L22" s="7"/>
      <c r="M22" s="19"/>
      <c r="N22" s="20" t="s">
        <v>269</v>
      </c>
      <c r="O22" s="4">
        <v>8.439546821933085</v>
      </c>
      <c r="P22" s="4">
        <v>4.633474888499332</v>
      </c>
      <c r="T22" s="492"/>
      <c r="U22" s="492"/>
      <c r="V22" s="492"/>
    </row>
    <row r="23" spans="2:16" ht="12.75">
      <c r="B23" s="481">
        <v>2004</v>
      </c>
      <c r="C23" s="482">
        <v>7.037954108895671</v>
      </c>
      <c r="D23" s="483">
        <f t="shared" si="0"/>
        <v>8.674201605419087</v>
      </c>
      <c r="E23" s="484">
        <v>5.214201316426084</v>
      </c>
      <c r="F23" s="485">
        <v>8.22302317700895</v>
      </c>
      <c r="G23" s="486">
        <v>8.674201605419087</v>
      </c>
      <c r="H23" s="484">
        <v>5.3901465775055355</v>
      </c>
      <c r="I23" s="487">
        <f t="shared" si="1"/>
        <v>5.176227190061146</v>
      </c>
      <c r="J23" s="489"/>
      <c r="K23" s="488">
        <f>'[4]desagregados'!B80</f>
        <v>5.176227190061146</v>
      </c>
      <c r="L23" s="7"/>
      <c r="M23" s="19"/>
      <c r="N23" s="20" t="s">
        <v>270</v>
      </c>
      <c r="O23" s="4">
        <v>8.67420160541909</v>
      </c>
      <c r="P23" s="4">
        <v>5.214201316426084</v>
      </c>
    </row>
    <row r="24" spans="2:21" ht="12.75">
      <c r="B24" s="473">
        <v>2005</v>
      </c>
      <c r="C24" s="474">
        <v>7.629517461367721</v>
      </c>
      <c r="D24" s="475">
        <f t="shared" si="0"/>
        <v>9.400777808861907</v>
      </c>
      <c r="E24" s="476">
        <v>5.561757922565469</v>
      </c>
      <c r="F24" s="477">
        <v>8.888491459581944</v>
      </c>
      <c r="G24" s="478">
        <v>9.400777808861907</v>
      </c>
      <c r="H24" s="476">
        <v>5.650701414642656</v>
      </c>
      <c r="I24" s="479">
        <f t="shared" si="1"/>
        <v>5.541607608090972</v>
      </c>
      <c r="J24" s="490"/>
      <c r="K24" s="480">
        <f>'[4]desagregados'!B81</f>
        <v>5.541607608090972</v>
      </c>
      <c r="L24" s="7"/>
      <c r="M24" s="19"/>
      <c r="N24" s="20" t="s">
        <v>271</v>
      </c>
      <c r="O24" s="4">
        <v>9.400777808861907</v>
      </c>
      <c r="P24" s="4">
        <v>5.561757922565469</v>
      </c>
      <c r="U24" s="113"/>
    </row>
    <row r="25" spans="2:16" ht="12.75">
      <c r="B25" s="481">
        <v>2006</v>
      </c>
      <c r="C25" s="482">
        <v>7.5478896322436135</v>
      </c>
      <c r="D25" s="483">
        <f t="shared" si="0"/>
        <v>9.20541981902347</v>
      </c>
      <c r="E25" s="484">
        <v>5.55478195409213</v>
      </c>
      <c r="F25" s="485">
        <v>8.702584077848925</v>
      </c>
      <c r="G25" s="486">
        <v>9.20541981902347</v>
      </c>
      <c r="H25" s="484">
        <v>5.43744844190284</v>
      </c>
      <c r="I25" s="487">
        <f t="shared" si="1"/>
        <v>5.581447756240201</v>
      </c>
      <c r="J25" s="489"/>
      <c r="K25" s="488">
        <f>'[4]desagregados'!B82</f>
        <v>5.581447756240201</v>
      </c>
      <c r="L25" s="7"/>
      <c r="M25" s="19"/>
      <c r="N25" s="20" t="s">
        <v>272</v>
      </c>
      <c r="O25" s="4">
        <v>9.20541981902347</v>
      </c>
      <c r="P25" s="4">
        <v>5.55478195409213</v>
      </c>
    </row>
    <row r="26" spans="2:22" ht="12.75">
      <c r="B26" s="473">
        <v>2007</v>
      </c>
      <c r="C26" s="474">
        <v>7.40494411028258</v>
      </c>
      <c r="D26" s="475">
        <f t="shared" si="0"/>
        <v>9.093906057369018</v>
      </c>
      <c r="E26" s="476">
        <v>5.423398620275471</v>
      </c>
      <c r="F26" s="477">
        <v>8.684354506431966</v>
      </c>
      <c r="G26" s="478">
        <v>9.093906057369018</v>
      </c>
      <c r="H26" s="476">
        <v>5.4423840053332935</v>
      </c>
      <c r="I26" s="479">
        <f t="shared" si="1"/>
        <v>5.420095140533965</v>
      </c>
      <c r="J26" s="490"/>
      <c r="K26" s="480">
        <f>'[4]desagregados'!B83</f>
        <v>5.420095140533965</v>
      </c>
      <c r="L26" s="7"/>
      <c r="M26" s="19"/>
      <c r="N26" s="20" t="s">
        <v>273</v>
      </c>
      <c r="O26" s="4">
        <v>9.093906057369018</v>
      </c>
      <c r="P26" s="4">
        <v>5.423398620275471</v>
      </c>
      <c r="T26" s="491"/>
      <c r="U26" s="491"/>
      <c r="V26" s="491"/>
    </row>
    <row r="27" spans="2:22" ht="12.75">
      <c r="B27" s="481">
        <v>2008</v>
      </c>
      <c r="C27" s="482">
        <v>8.21860962452384</v>
      </c>
      <c r="D27" s="483">
        <f t="shared" si="0"/>
        <v>9.563809357904866</v>
      </c>
      <c r="E27" s="484">
        <v>6.63741891099464</v>
      </c>
      <c r="F27" s="485">
        <v>9.210201127006314</v>
      </c>
      <c r="G27" s="486">
        <v>9.563809357904866</v>
      </c>
      <c r="H27" s="484">
        <v>6.228330130971453</v>
      </c>
      <c r="I27" s="487">
        <f t="shared" si="1"/>
        <v>6.703677483775019</v>
      </c>
      <c r="J27" s="489"/>
      <c r="K27" s="488">
        <f>'[4]desagregados'!B84</f>
        <v>6.703677483775019</v>
      </c>
      <c r="L27" s="7"/>
      <c r="M27" s="19"/>
      <c r="N27" s="20" t="s">
        <v>274</v>
      </c>
      <c r="O27" s="4">
        <v>9.563809357904866</v>
      </c>
      <c r="P27" s="4">
        <v>6.63741891099464</v>
      </c>
      <c r="T27" s="491"/>
      <c r="U27" s="491"/>
      <c r="V27" s="491"/>
    </row>
    <row r="28" spans="2:22" ht="12.75">
      <c r="B28" s="473">
        <v>2009</v>
      </c>
      <c r="C28" s="474">
        <v>8.255095348074532</v>
      </c>
      <c r="D28" s="475">
        <f t="shared" si="0"/>
        <v>10.220209425572106</v>
      </c>
      <c r="E28" s="476">
        <v>5.715580277610793</v>
      </c>
      <c r="F28" s="477">
        <v>9.834767034288422</v>
      </c>
      <c r="G28" s="478">
        <f>'[4]desagregados'!H52</f>
        <v>10.220209425572106</v>
      </c>
      <c r="H28" s="476">
        <f>'[4]desagregados'!C52</f>
        <v>6.573199512560988</v>
      </c>
      <c r="I28" s="479">
        <f t="shared" si="1"/>
        <v>5.653760327009893</v>
      </c>
      <c r="J28" s="490"/>
      <c r="K28" s="480">
        <f>'[4]desagregados'!B85</f>
        <v>5.653760327009893</v>
      </c>
      <c r="L28" s="7"/>
      <c r="M28" s="19"/>
      <c r="N28" s="20" t="s">
        <v>275</v>
      </c>
      <c r="O28" s="4">
        <v>10.239697017523108</v>
      </c>
      <c r="P28" s="4">
        <v>5.715580277610793</v>
      </c>
      <c r="T28" s="492"/>
      <c r="U28" s="492"/>
      <c r="V28" s="492"/>
    </row>
    <row r="29" spans="2:16" ht="12.75">
      <c r="B29" s="481">
        <v>2010</v>
      </c>
      <c r="C29" s="482">
        <v>8.318115440910699</v>
      </c>
      <c r="D29" s="483">
        <f t="shared" si="0"/>
        <v>10.459527312900395</v>
      </c>
      <c r="E29" s="484">
        <v>5.612668273748845</v>
      </c>
      <c r="F29" s="485">
        <v>10.118555763056673</v>
      </c>
      <c r="G29" s="486">
        <f>'[4]desagregados'!H53</f>
        <v>10.459527312900395</v>
      </c>
      <c r="H29" s="484">
        <f>'[4]desagregados'!C53</f>
        <v>6.943416370742706</v>
      </c>
      <c r="I29" s="487">
        <f t="shared" si="1"/>
        <v>5.403780946168652</v>
      </c>
      <c r="J29" s="489"/>
      <c r="K29" s="488">
        <f>'[4]desagregados'!B86</f>
        <v>5.403780946168652</v>
      </c>
      <c r="L29" s="7"/>
      <c r="M29" s="19"/>
      <c r="N29" s="20" t="s">
        <v>276</v>
      </c>
      <c r="O29" s="4">
        <v>10.459527312900397</v>
      </c>
      <c r="P29" s="4">
        <v>5.612668273748845</v>
      </c>
    </row>
    <row r="30" spans="2:16" ht="12.75">
      <c r="B30" s="473">
        <v>2011</v>
      </c>
      <c r="C30" s="474">
        <v>8.989189254591013</v>
      </c>
      <c r="D30" s="475">
        <v>11.091278800848533</v>
      </c>
      <c r="E30" s="476">
        <v>6.289052173637484</v>
      </c>
      <c r="F30" s="477">
        <v>10.785887035062256</v>
      </c>
      <c r="G30" s="478">
        <v>11.091278800848533</v>
      </c>
      <c r="H30" s="476">
        <v>7.847143085859787</v>
      </c>
      <c r="I30" s="479">
        <v>6.048703531832315</v>
      </c>
      <c r="J30" s="490"/>
      <c r="K30" s="480">
        <v>6.048703533336055</v>
      </c>
      <c r="L30" s="7"/>
      <c r="M30" s="19"/>
      <c r="N30" s="20" t="s">
        <v>277</v>
      </c>
      <c r="O30" s="4">
        <f aca="true" t="shared" si="2" ref="O30:P32">D30</f>
        <v>11.091278800848533</v>
      </c>
      <c r="P30" s="4">
        <f t="shared" si="2"/>
        <v>6.289052173637484</v>
      </c>
    </row>
    <row r="31" spans="2:16" ht="12.75">
      <c r="B31" s="481">
        <v>2012</v>
      </c>
      <c r="C31" s="482">
        <v>9.80476482654997</v>
      </c>
      <c r="D31" s="483">
        <f t="shared" si="0"/>
        <v>12.201537385477197</v>
      </c>
      <c r="E31" s="484">
        <v>6.71011965093431</v>
      </c>
      <c r="F31" s="485">
        <v>11.813141103914758</v>
      </c>
      <c r="G31" s="486">
        <v>12.201537385477197</v>
      </c>
      <c r="H31" s="484">
        <v>8.103130579366997</v>
      </c>
      <c r="I31" s="487">
        <v>6.492394647523122</v>
      </c>
      <c r="J31" s="489"/>
      <c r="K31" s="488">
        <v>6.492394647523122</v>
      </c>
      <c r="L31" s="7"/>
      <c r="M31" s="19"/>
      <c r="N31" s="20" t="s">
        <v>278</v>
      </c>
      <c r="O31" s="4">
        <f t="shared" si="2"/>
        <v>12.201537385477197</v>
      </c>
      <c r="P31" s="4">
        <f t="shared" si="2"/>
        <v>6.71011965093431</v>
      </c>
    </row>
    <row r="32" spans="2:16" ht="12.75">
      <c r="B32" s="473">
        <v>2013</v>
      </c>
      <c r="C32" s="474">
        <v>9.930296909762083</v>
      </c>
      <c r="D32" s="475">
        <f t="shared" si="0"/>
        <v>12.233886288512146</v>
      </c>
      <c r="E32" s="476">
        <v>7.018250600117379</v>
      </c>
      <c r="F32" s="477">
        <v>11.933029674417638</v>
      </c>
      <c r="G32" s="478">
        <v>12.233886288512146</v>
      </c>
      <c r="H32" s="476">
        <v>9.020649841961948</v>
      </c>
      <c r="I32" s="479">
        <v>6.717483711105128</v>
      </c>
      <c r="J32" s="490"/>
      <c r="K32" s="480">
        <v>6.717483711105128</v>
      </c>
      <c r="L32" s="7"/>
      <c r="M32" s="19"/>
      <c r="N32" s="20" t="s">
        <v>279</v>
      </c>
      <c r="O32" s="4">
        <f t="shared" si="2"/>
        <v>12.233886288512146</v>
      </c>
      <c r="P32" s="4">
        <f t="shared" si="2"/>
        <v>7.018250600117379</v>
      </c>
    </row>
    <row r="33" spans="2:12" ht="13.5" thickBot="1">
      <c r="B33" s="493"/>
      <c r="C33" s="494"/>
      <c r="D33" s="495"/>
      <c r="E33" s="496"/>
      <c r="F33" s="497"/>
      <c r="G33" s="498"/>
      <c r="H33" s="496"/>
      <c r="I33" s="499"/>
      <c r="J33" s="489"/>
      <c r="K33" s="500"/>
      <c r="L33" s="7"/>
    </row>
    <row r="34" spans="2:11" ht="12.75">
      <c r="B34" s="501" t="s">
        <v>254</v>
      </c>
      <c r="C34" s="502">
        <f>(C32/C31)-1</f>
        <v>0.012803171257324664</v>
      </c>
      <c r="D34" s="503">
        <f aca="true" t="shared" si="3" ref="D34:I34">(D32/D31)-1</f>
        <v>0.002651215335655266</v>
      </c>
      <c r="E34" s="504">
        <f t="shared" si="3"/>
        <v>0.045920336031588516</v>
      </c>
      <c r="F34" s="505">
        <f t="shared" si="3"/>
        <v>0.010148746167363498</v>
      </c>
      <c r="G34" s="506">
        <f t="shared" si="3"/>
        <v>0.002651215335655266</v>
      </c>
      <c r="H34" s="503">
        <f t="shared" si="3"/>
        <v>0.11323022054355514</v>
      </c>
      <c r="I34" s="504">
        <f t="shared" si="3"/>
        <v>0.03466965207789374</v>
      </c>
      <c r="J34" s="507"/>
      <c r="K34" s="508">
        <f>(K32/K31)-1</f>
        <v>0.03466965207789374</v>
      </c>
    </row>
    <row r="35" spans="2:11" ht="12.75">
      <c r="B35" s="509" t="s">
        <v>255</v>
      </c>
      <c r="C35" s="510">
        <f>((C32/C27)^(1/5))-1</f>
        <v>0.03856283258212678</v>
      </c>
      <c r="D35" s="511">
        <f aca="true" t="shared" si="4" ref="D35:I35">((D32/D27)^(1/5))-1</f>
        <v>0.0504773816036439</v>
      </c>
      <c r="E35" s="512">
        <f t="shared" si="4"/>
        <v>0.011220647493611624</v>
      </c>
      <c r="F35" s="513">
        <f t="shared" si="4"/>
        <v>0.05316476620755495</v>
      </c>
      <c r="G35" s="514">
        <f t="shared" si="4"/>
        <v>0.0504773816036439</v>
      </c>
      <c r="H35" s="511">
        <f t="shared" si="4"/>
        <v>0.07689470148637345</v>
      </c>
      <c r="I35" s="512">
        <f t="shared" si="4"/>
        <v>0.00041156120128382767</v>
      </c>
      <c r="J35" s="515"/>
      <c r="K35" s="516">
        <f>((K32/K27)^(1/5))-1</f>
        <v>0.00041156120128382767</v>
      </c>
    </row>
    <row r="36" spans="2:11" ht="12.75">
      <c r="B36" s="517" t="s">
        <v>256</v>
      </c>
      <c r="C36" s="518">
        <f>(C32/C19)-1</f>
        <v>0.38690690782891535</v>
      </c>
      <c r="D36" s="519">
        <f aca="true" t="shared" si="5" ref="D36:I36">(D32/D19)-1</f>
        <v>0.38921355902278276</v>
      </c>
      <c r="E36" s="520">
        <f t="shared" si="5"/>
        <v>0.3441540830977914</v>
      </c>
      <c r="F36" s="521">
        <f t="shared" si="5"/>
        <v>0.4829990038681369</v>
      </c>
      <c r="G36" s="522">
        <f t="shared" si="5"/>
        <v>0.38921355902278276</v>
      </c>
      <c r="H36" s="523">
        <f t="shared" si="5"/>
        <v>0.6905220367021796</v>
      </c>
      <c r="I36" s="520">
        <f t="shared" si="5"/>
        <v>0.3006291791364599</v>
      </c>
      <c r="J36" s="524"/>
      <c r="K36" s="525">
        <f>(K32/K19)-1</f>
        <v>0.3006291791364599</v>
      </c>
    </row>
    <row r="37" spans="2:11" ht="13.5" thickBot="1">
      <c r="B37" s="526" t="s">
        <v>257</v>
      </c>
      <c r="C37" s="527">
        <f>((C32/C19)^(1/13))-1</f>
        <v>0.025478870227455097</v>
      </c>
      <c r="D37" s="528">
        <f aca="true" t="shared" si="6" ref="D37:I37">((D32/D19)^(1/13))-1</f>
        <v>0.025609964837553623</v>
      </c>
      <c r="E37" s="529">
        <f t="shared" si="6"/>
        <v>0.023011925895700447</v>
      </c>
      <c r="F37" s="530">
        <f t="shared" si="6"/>
        <v>0.030776909871275127</v>
      </c>
      <c r="G37" s="531">
        <f t="shared" si="6"/>
        <v>0.025609964837553623</v>
      </c>
      <c r="H37" s="528">
        <f t="shared" si="6"/>
        <v>0.04121415680370544</v>
      </c>
      <c r="I37" s="532">
        <f t="shared" si="6"/>
        <v>0.02042487739029286</v>
      </c>
      <c r="J37" s="524"/>
      <c r="K37" s="533">
        <f>((K32/K19)^(1/13))-1</f>
        <v>0.02042487739029286</v>
      </c>
    </row>
    <row r="38" spans="2:3" ht="12.75">
      <c r="B38" s="534"/>
      <c r="C38" s="535"/>
    </row>
    <row r="39" ht="12.75">
      <c r="B39" s="74"/>
    </row>
    <row r="40" spans="15:16" ht="12.75">
      <c r="O40" t="s">
        <v>10</v>
      </c>
      <c r="P40" t="s">
        <v>11</v>
      </c>
    </row>
    <row r="41" spans="2:16" ht="12.75">
      <c r="B41" s="5"/>
      <c r="C41" s="5"/>
      <c r="D41" s="5"/>
      <c r="E41" s="5"/>
      <c r="F41" s="5"/>
      <c r="G41" s="5"/>
      <c r="H41" s="5"/>
      <c r="I41" s="5"/>
      <c r="J41" s="5"/>
      <c r="K41" s="5"/>
      <c r="O41" s="4"/>
      <c r="P41" s="4"/>
    </row>
    <row r="42" spans="15:16" ht="12.75">
      <c r="O42" s="4"/>
      <c r="P42" s="4"/>
    </row>
    <row r="43" spans="14:16" ht="12.75">
      <c r="N43">
        <v>95</v>
      </c>
      <c r="O43" s="4">
        <v>8.955560685264611</v>
      </c>
      <c r="P43" s="4">
        <v>4.2445573090579085</v>
      </c>
    </row>
    <row r="44" spans="14:16" ht="12.75">
      <c r="N44">
        <v>96</v>
      </c>
      <c r="O44" s="4">
        <v>9.377457321378525</v>
      </c>
      <c r="P44" s="4">
        <v>4.5448535324028105</v>
      </c>
    </row>
    <row r="45" spans="14:16" ht="12.75">
      <c r="N45">
        <v>97</v>
      </c>
      <c r="O45" s="4">
        <v>9.163588512282494</v>
      </c>
      <c r="P45" s="4">
        <v>5.212117520815097</v>
      </c>
    </row>
    <row r="46" spans="14:16" ht="12.75">
      <c r="N46">
        <v>98</v>
      </c>
      <c r="O46" s="4">
        <v>7.957160935688618</v>
      </c>
      <c r="P46" s="4">
        <v>4.893174766470397</v>
      </c>
    </row>
    <row r="47" spans="14:16" ht="12.75">
      <c r="N47">
        <v>99</v>
      </c>
      <c r="O47" s="4">
        <v>7.632021028288909</v>
      </c>
      <c r="P47" s="4">
        <v>4.86160260753618</v>
      </c>
    </row>
    <row r="48" spans="14:16" ht="12.75">
      <c r="N48" s="1002" t="s">
        <v>266</v>
      </c>
      <c r="O48" s="4">
        <v>8.046552724103298</v>
      </c>
      <c r="P48" s="4">
        <v>5.164795484263346</v>
      </c>
    </row>
    <row r="49" spans="14:16" ht="12.75">
      <c r="N49" s="1002" t="s">
        <v>267</v>
      </c>
      <c r="O49" s="4">
        <v>8.198076063917068</v>
      </c>
      <c r="P49" s="4">
        <v>4.531755939031402</v>
      </c>
    </row>
    <row r="50" spans="14:16" ht="12.75">
      <c r="N50" s="1002" t="s">
        <v>268</v>
      </c>
      <c r="O50" s="4">
        <v>7.758352080828168</v>
      </c>
      <c r="P50" s="4">
        <v>4.541729686255704</v>
      </c>
    </row>
    <row r="51" spans="14:16" ht="12.75">
      <c r="N51" s="1002" t="s">
        <v>269</v>
      </c>
      <c r="O51" s="4">
        <v>7.97175316190768</v>
      </c>
      <c r="P51" s="4">
        <v>4.470113199324197</v>
      </c>
    </row>
    <row r="52" spans="14:16" ht="12.75">
      <c r="N52" s="1002" t="s">
        <v>270</v>
      </c>
      <c r="O52" s="4">
        <v>8.223023177008951</v>
      </c>
      <c r="P52" s="4">
        <v>5.176227190061146</v>
      </c>
    </row>
    <row r="53" spans="14:16" ht="12.75">
      <c r="N53" s="1002" t="s">
        <v>271</v>
      </c>
      <c r="O53" s="4">
        <v>8.888491459581944</v>
      </c>
      <c r="P53" s="4">
        <v>5.541607608090972</v>
      </c>
    </row>
    <row r="54" spans="14:16" ht="12.75">
      <c r="N54" s="1002" t="s">
        <v>272</v>
      </c>
      <c r="O54" s="4">
        <v>8.702584077848925</v>
      </c>
      <c r="P54" s="4">
        <v>5.581447756240201</v>
      </c>
    </row>
    <row r="55" spans="14:16" ht="12.75">
      <c r="N55" s="1002" t="s">
        <v>273</v>
      </c>
      <c r="O55" s="4">
        <v>8.684354506431966</v>
      </c>
      <c r="P55" s="4">
        <v>5.420095140533965</v>
      </c>
    </row>
    <row r="56" spans="14:16" ht="12.75">
      <c r="N56" s="1002" t="s">
        <v>274</v>
      </c>
      <c r="O56" s="4">
        <v>9.210201127006314</v>
      </c>
      <c r="P56" s="4">
        <v>6.719070229036941</v>
      </c>
    </row>
    <row r="57" spans="14:16" ht="12.75">
      <c r="N57" s="1002" t="s">
        <v>275</v>
      </c>
      <c r="O57" s="4">
        <v>9.856466421204773</v>
      </c>
      <c r="P57" s="4">
        <v>5.555962919381731</v>
      </c>
    </row>
    <row r="58" spans="14:16" ht="12.75">
      <c r="N58" s="1002" t="s">
        <v>276</v>
      </c>
      <c r="O58" s="4">
        <v>10.118555763056674</v>
      </c>
      <c r="P58" s="4">
        <v>5.40378094616865</v>
      </c>
    </row>
    <row r="59" spans="14:16" ht="12.75">
      <c r="N59" s="1002" t="s">
        <v>277</v>
      </c>
      <c r="O59" s="536">
        <f>F30</f>
        <v>10.785887035062256</v>
      </c>
      <c r="P59" s="536">
        <f>I30</f>
        <v>6.048703531832315</v>
      </c>
    </row>
    <row r="60" spans="14:16" ht="12.75">
      <c r="N60" s="1002" t="s">
        <v>278</v>
      </c>
      <c r="O60" s="536">
        <f>F31</f>
        <v>11.813141103914758</v>
      </c>
      <c r="P60" s="536">
        <f>I31</f>
        <v>6.492394647523122</v>
      </c>
    </row>
    <row r="61" spans="14:16" ht="12.75">
      <c r="N61" s="1002" t="s">
        <v>279</v>
      </c>
      <c r="O61" s="536">
        <f>F32</f>
        <v>11.933029674417638</v>
      </c>
      <c r="P61" s="536">
        <f>I32</f>
        <v>6.717483711105128</v>
      </c>
    </row>
  </sheetData>
  <sheetProtection/>
  <mergeCells count="4">
    <mergeCell ref="B10:B11"/>
    <mergeCell ref="C10:E10"/>
    <mergeCell ref="F10:H10"/>
    <mergeCell ref="I10:K10"/>
  </mergeCells>
  <printOptions horizontalCentered="1" verticalCentered="1"/>
  <pageMargins left="0.66" right="0.64" top="1" bottom="1" header="0" footer="0"/>
  <pageSetup fitToHeight="1" fitToWidth="1" horizontalDpi="600" verticalDpi="600" orientation="portrait" paperSize="9" scale="6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5"/>
  <sheetViews>
    <sheetView view="pageBreakPreview" zoomScale="110" zoomScaleSheetLayoutView="110" zoomScalePageLayoutView="0" workbookViewId="0" topLeftCell="A1">
      <selection activeCell="S10" sqref="S10"/>
    </sheetView>
  </sheetViews>
  <sheetFormatPr defaultColWidth="11.421875" defaultRowHeight="12.75"/>
  <cols>
    <col min="1" max="1" width="8.421875" style="0" customWidth="1"/>
    <col min="2" max="2" width="18.57421875" style="0" customWidth="1"/>
    <col min="3" max="3" width="11.00390625" style="0" customWidth="1"/>
    <col min="4" max="4" width="6.28125" style="0" customWidth="1"/>
    <col min="5" max="5" width="9.7109375" style="0" customWidth="1"/>
    <col min="6" max="6" width="6.8515625" style="0" customWidth="1"/>
    <col min="7" max="7" width="9.7109375" style="0" customWidth="1"/>
    <col min="8" max="8" width="7.00390625" style="0" customWidth="1"/>
    <col min="9" max="9" width="9.7109375" style="0" customWidth="1"/>
    <col min="10" max="10" width="5.7109375" style="0" customWidth="1"/>
    <col min="11" max="13" width="9.7109375" style="0" customWidth="1"/>
    <col min="14" max="14" width="10.7109375" style="0" customWidth="1"/>
    <col min="15" max="15" width="18.57421875" style="0" bestFit="1" customWidth="1"/>
    <col min="16" max="24" width="10.7109375" style="0" customWidth="1"/>
    <col min="28" max="28" width="12.57421875" style="0" bestFit="1" customWidth="1"/>
  </cols>
  <sheetData>
    <row r="1" spans="2:4" ht="15.75">
      <c r="B1" s="16"/>
      <c r="C1" s="16"/>
      <c r="D1" s="17"/>
    </row>
    <row r="2" spans="1:13" ht="18">
      <c r="A2" s="10" t="s">
        <v>303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2:5" ht="12.75">
      <c r="B4" s="6"/>
      <c r="C4" s="6"/>
      <c r="D4" s="6"/>
      <c r="E4" s="6"/>
    </row>
    <row r="5" ht="13.5" thickBot="1"/>
    <row r="6" spans="2:14" ht="12.75">
      <c r="B6" s="1084" t="s">
        <v>18</v>
      </c>
      <c r="C6" s="1086" t="s">
        <v>40</v>
      </c>
      <c r="D6" s="1087"/>
      <c r="E6" s="1086" t="s">
        <v>41</v>
      </c>
      <c r="F6" s="1090"/>
      <c r="G6" s="1087" t="s">
        <v>42</v>
      </c>
      <c r="H6" s="1090"/>
      <c r="I6" s="1082" t="s">
        <v>43</v>
      </c>
      <c r="J6" s="1082"/>
      <c r="K6" s="1084" t="s">
        <v>0</v>
      </c>
      <c r="M6" s="22"/>
      <c r="N6" s="20"/>
    </row>
    <row r="7" spans="2:14" ht="13.5" thickBot="1">
      <c r="B7" s="1085"/>
      <c r="C7" s="1088"/>
      <c r="D7" s="1089"/>
      <c r="E7" s="1088"/>
      <c r="F7" s="1091"/>
      <c r="G7" s="1089"/>
      <c r="H7" s="1091"/>
      <c r="I7" s="1083"/>
      <c r="J7" s="1083"/>
      <c r="K7" s="1085"/>
      <c r="M7" s="22"/>
      <c r="N7" s="20"/>
    </row>
    <row r="8" spans="1:31" ht="12.75">
      <c r="A8" s="6"/>
      <c r="B8" s="60">
        <v>1992</v>
      </c>
      <c r="C8" s="61">
        <v>3109.254</v>
      </c>
      <c r="D8" s="1005">
        <f>+C8/$K8</f>
        <v>0.4281998853911759</v>
      </c>
      <c r="E8" s="1004">
        <f>361.967+658.68</f>
        <v>1020.6469999999999</v>
      </c>
      <c r="F8" s="1005">
        <f>+E8/$K8</f>
        <v>0.14056134636309786</v>
      </c>
      <c r="G8" s="1004">
        <v>2748.592</v>
      </c>
      <c r="H8" s="1005">
        <f aca="true" t="shared" si="0" ref="H8:H26">+G8/$K8</f>
        <v>0.3785302774836353</v>
      </c>
      <c r="I8" s="1004">
        <v>382.728</v>
      </c>
      <c r="J8" s="62">
        <f aca="true" t="shared" si="1" ref="J8:J26">+I8/$K8</f>
        <v>0.05270849076209084</v>
      </c>
      <c r="K8" s="63">
        <f aca="true" t="shared" si="2" ref="K8:K21">C8+E8+G8+I8</f>
        <v>7261.2210000000005</v>
      </c>
      <c r="L8" s="6"/>
      <c r="N8" s="20"/>
      <c r="O8" s="19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73"/>
      <c r="AD8" s="19"/>
      <c r="AE8" s="19"/>
    </row>
    <row r="9" spans="1:31" ht="12.75">
      <c r="A9" s="6"/>
      <c r="B9" s="60">
        <v>1993</v>
      </c>
      <c r="C9" s="64">
        <v>3174.6043</v>
      </c>
      <c r="D9" s="1006">
        <f aca="true" t="shared" si="3" ref="D9:F26">+C9/$K9</f>
        <v>0.3819591194518462</v>
      </c>
      <c r="E9" s="865">
        <f>791.5456+810.2429</f>
        <v>1601.7885</v>
      </c>
      <c r="F9" s="1006">
        <f t="shared" si="3"/>
        <v>0.1927225150574179</v>
      </c>
      <c r="G9" s="865">
        <v>3063.5259</v>
      </c>
      <c r="H9" s="1006">
        <f t="shared" si="0"/>
        <v>0.3685944907155593</v>
      </c>
      <c r="I9" s="865">
        <v>471.45322</v>
      </c>
      <c r="J9" s="65">
        <f t="shared" si="1"/>
        <v>0.05672387477517671</v>
      </c>
      <c r="K9" s="66">
        <f t="shared" si="2"/>
        <v>8311.37192</v>
      </c>
      <c r="L9" s="6"/>
      <c r="N9" s="20"/>
      <c r="O9" s="19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15" ht="12.75">
      <c r="A10" s="6"/>
      <c r="B10" s="60">
        <v>1994</v>
      </c>
      <c r="C10" s="64">
        <f>9334.776*0.413</f>
        <v>3855.262488</v>
      </c>
      <c r="D10" s="1006">
        <f t="shared" si="3"/>
        <v>0.413</v>
      </c>
      <c r="E10" s="865">
        <f>9334.776*0.107+849.464616</f>
        <v>1848.285648</v>
      </c>
      <c r="F10" s="1006">
        <f t="shared" si="3"/>
        <v>0.198</v>
      </c>
      <c r="G10" s="865">
        <f>9334.776*0.336</f>
        <v>3136.4847360000003</v>
      </c>
      <c r="H10" s="1006">
        <f t="shared" si="0"/>
        <v>0.336</v>
      </c>
      <c r="I10" s="865">
        <f>9334.776*0.053</f>
        <v>494.74312799999996</v>
      </c>
      <c r="J10" s="65">
        <f t="shared" si="1"/>
        <v>0.053</v>
      </c>
      <c r="K10" s="66">
        <f t="shared" si="2"/>
        <v>9334.776</v>
      </c>
      <c r="L10" s="6"/>
      <c r="N10" s="20"/>
      <c r="O10" s="19"/>
    </row>
    <row r="11" spans="1:15" ht="12.75">
      <c r="A11" s="6"/>
      <c r="B11" s="60">
        <v>1995</v>
      </c>
      <c r="C11" s="64">
        <v>3963.76629</v>
      </c>
      <c r="D11" s="1006">
        <f t="shared" si="3"/>
        <v>0.40244321387216575</v>
      </c>
      <c r="E11" s="865">
        <f>1375.844691+872.823814</f>
        <v>2248.668505</v>
      </c>
      <c r="F11" s="1006">
        <f t="shared" si="3"/>
        <v>0.22830846065985344</v>
      </c>
      <c r="G11" s="865">
        <v>3154.1445019999996</v>
      </c>
      <c r="H11" s="1006">
        <f t="shared" si="0"/>
        <v>0.32024190063993446</v>
      </c>
      <c r="I11" s="865">
        <v>482.67683</v>
      </c>
      <c r="J11" s="65">
        <f t="shared" si="1"/>
        <v>0.049006424828046305</v>
      </c>
      <c r="K11" s="66">
        <f t="shared" si="2"/>
        <v>9849.256127</v>
      </c>
      <c r="L11" s="6"/>
      <c r="N11" s="20"/>
      <c r="O11" s="19"/>
    </row>
    <row r="12" spans="1:15" ht="12.75">
      <c r="A12" s="6"/>
      <c r="B12" s="60">
        <v>1996</v>
      </c>
      <c r="C12" s="64">
        <v>4305.296401</v>
      </c>
      <c r="D12" s="1006">
        <f t="shared" si="3"/>
        <v>0.416744078099814</v>
      </c>
      <c r="E12" s="865">
        <f>1475.713399+875.27503</f>
        <v>2350.988429</v>
      </c>
      <c r="F12" s="1006">
        <f t="shared" si="3"/>
        <v>0.2275709763535361</v>
      </c>
      <c r="G12" s="865">
        <v>3185.061631</v>
      </c>
      <c r="H12" s="1006">
        <f t="shared" si="0"/>
        <v>0.30830759359422444</v>
      </c>
      <c r="I12" s="865">
        <v>489.44557</v>
      </c>
      <c r="J12" s="65">
        <f t="shared" si="1"/>
        <v>0.04737735195242554</v>
      </c>
      <c r="K12" s="66">
        <f t="shared" si="2"/>
        <v>10330.792030999999</v>
      </c>
      <c r="L12" s="6"/>
      <c r="N12" s="20"/>
      <c r="O12" s="19"/>
    </row>
    <row r="13" spans="1:15" ht="12.75">
      <c r="A13" s="6"/>
      <c r="B13" s="60">
        <v>1997</v>
      </c>
      <c r="C13" s="64">
        <v>6058.131118</v>
      </c>
      <c r="D13" s="1006">
        <f t="shared" si="3"/>
        <v>0.4865487892792349</v>
      </c>
      <c r="E13" s="865">
        <v>2480.103368</v>
      </c>
      <c r="F13" s="1006">
        <f t="shared" si="3"/>
        <v>0.19918540346583377</v>
      </c>
      <c r="G13" s="865">
        <f>3385523/1000</f>
        <v>3385.523</v>
      </c>
      <c r="H13" s="1006">
        <f t="shared" si="0"/>
        <v>0.2719026849440011</v>
      </c>
      <c r="I13" s="865">
        <f>527473/1000</f>
        <v>527.473</v>
      </c>
      <c r="J13" s="65">
        <f t="shared" si="1"/>
        <v>0.04236312231093012</v>
      </c>
      <c r="K13" s="66">
        <f t="shared" si="2"/>
        <v>12451.230486000002</v>
      </c>
      <c r="L13" s="6"/>
      <c r="N13" s="20"/>
      <c r="O13" s="19"/>
    </row>
    <row r="14" spans="1:15" ht="12.75">
      <c r="A14" s="6"/>
      <c r="B14" s="60">
        <v>1998</v>
      </c>
      <c r="C14" s="64">
        <v>7473.848437</v>
      </c>
      <c r="D14" s="1006">
        <f t="shared" si="3"/>
        <v>0.5335168445158409</v>
      </c>
      <c r="E14" s="865">
        <v>2360.432139</v>
      </c>
      <c r="F14" s="1006">
        <f t="shared" si="3"/>
        <v>0.1684982398436958</v>
      </c>
      <c r="G14" s="865">
        <v>3639.3</v>
      </c>
      <c r="H14" s="1006">
        <f t="shared" si="0"/>
        <v>0.2597895673980069</v>
      </c>
      <c r="I14" s="865">
        <v>535.0651</v>
      </c>
      <c r="J14" s="65">
        <f t="shared" si="1"/>
        <v>0.03819534824245633</v>
      </c>
      <c r="K14" s="66">
        <f t="shared" si="2"/>
        <v>14008.645676</v>
      </c>
      <c r="L14" s="6"/>
      <c r="N14" s="20"/>
      <c r="O14" s="19"/>
    </row>
    <row r="15" spans="1:15" ht="12.75">
      <c r="A15" s="6"/>
      <c r="B15" s="60">
        <v>1999</v>
      </c>
      <c r="C15" s="64">
        <v>7855.6</v>
      </c>
      <c r="D15" s="1006">
        <f t="shared" si="3"/>
        <v>0.538353470075864</v>
      </c>
      <c r="E15" s="865">
        <v>2420.3</v>
      </c>
      <c r="F15" s="1006">
        <f t="shared" si="3"/>
        <v>0.16586599414743797</v>
      </c>
      <c r="G15" s="865">
        <v>3772.7</v>
      </c>
      <c r="H15" s="1006">
        <f t="shared" si="0"/>
        <v>0.25854755035327814</v>
      </c>
      <c r="I15" s="865">
        <v>543.3</v>
      </c>
      <c r="J15" s="65">
        <f t="shared" si="1"/>
        <v>0.03723298542341984</v>
      </c>
      <c r="K15" s="66">
        <f t="shared" si="2"/>
        <v>14591.900000000001</v>
      </c>
      <c r="L15" s="6"/>
      <c r="N15" s="20"/>
      <c r="O15" s="19"/>
    </row>
    <row r="16" spans="1:15" ht="12.75">
      <c r="A16" s="6"/>
      <c r="B16" s="60">
        <v>2000</v>
      </c>
      <c r="C16" s="64">
        <v>8375.016653115</v>
      </c>
      <c r="D16" s="1006">
        <f t="shared" si="3"/>
        <v>0.5387388632962289</v>
      </c>
      <c r="E16" s="865">
        <v>2693.3458028849996</v>
      </c>
      <c r="F16" s="1006">
        <f t="shared" si="3"/>
        <v>0.17325458759180443</v>
      </c>
      <c r="G16" s="865">
        <v>3936.241469000001</v>
      </c>
      <c r="H16" s="1006">
        <f t="shared" si="0"/>
        <v>0.2532062134921011</v>
      </c>
      <c r="I16" s="865">
        <v>540.9919540000001</v>
      </c>
      <c r="J16" s="65">
        <f t="shared" si="1"/>
        <v>0.03480033561986563</v>
      </c>
      <c r="K16" s="66">
        <f t="shared" si="2"/>
        <v>15545.595879</v>
      </c>
      <c r="L16" s="6"/>
      <c r="N16" s="20"/>
      <c r="O16" s="19"/>
    </row>
    <row r="17" spans="1:15" ht="12.75">
      <c r="A17" s="6"/>
      <c r="B17" s="60">
        <v>2001</v>
      </c>
      <c r="C17" s="64">
        <v>9280.560039965001</v>
      </c>
      <c r="D17" s="1006">
        <f t="shared" si="3"/>
        <v>0.5581031344657368</v>
      </c>
      <c r="E17" s="865">
        <v>2762.2040670349998</v>
      </c>
      <c r="F17" s="1006">
        <f t="shared" si="3"/>
        <v>0.1661100990896723</v>
      </c>
      <c r="G17" s="865">
        <v>4043.968830999999</v>
      </c>
      <c r="H17" s="1006">
        <f t="shared" si="0"/>
        <v>0.24319132364250642</v>
      </c>
      <c r="I17" s="865">
        <v>542.021618</v>
      </c>
      <c r="J17" s="65">
        <f t="shared" si="1"/>
        <v>0.0325954428020845</v>
      </c>
      <c r="K17" s="66">
        <f t="shared" si="2"/>
        <v>16628.754556</v>
      </c>
      <c r="L17" s="6"/>
      <c r="N17" s="20"/>
      <c r="O17" s="19"/>
    </row>
    <row r="18" spans="1:15" ht="12.75">
      <c r="A18" s="6"/>
      <c r="B18" s="60">
        <v>2002</v>
      </c>
      <c r="C18" s="64">
        <v>9567.606076848</v>
      </c>
      <c r="D18" s="1006">
        <f t="shared" si="3"/>
        <v>0.5434495305119252</v>
      </c>
      <c r="E18" s="865">
        <v>3013.11527</v>
      </c>
      <c r="F18" s="1006">
        <f t="shared" si="3"/>
        <v>0.17114794084407697</v>
      </c>
      <c r="G18" s="865">
        <v>4464.875400000001</v>
      </c>
      <c r="H18" s="1006">
        <f t="shared" si="0"/>
        <v>0.2536093585411934</v>
      </c>
      <c r="I18" s="865">
        <v>559.7291200000001</v>
      </c>
      <c r="J18" s="65">
        <f t="shared" si="1"/>
        <v>0.03179317010280436</v>
      </c>
      <c r="K18" s="66">
        <f t="shared" si="2"/>
        <v>17605.325866848</v>
      </c>
      <c r="L18" s="6"/>
      <c r="N18" s="20"/>
      <c r="O18" s="19"/>
    </row>
    <row r="19" spans="1:15" ht="12.75">
      <c r="A19" s="6"/>
      <c r="B19" s="60">
        <v>2003</v>
      </c>
      <c r="C19" s="64">
        <v>10038.680803439998</v>
      </c>
      <c r="D19" s="1006">
        <f t="shared" si="3"/>
        <v>0.5463127974512805</v>
      </c>
      <c r="E19" s="865">
        <v>3341.09110656</v>
      </c>
      <c r="F19" s="1006">
        <f t="shared" si="3"/>
        <v>0.18182477007725067</v>
      </c>
      <c r="G19" s="865">
        <v>4425.337826999999</v>
      </c>
      <c r="H19" s="1006">
        <f t="shared" si="0"/>
        <v>0.2408303177751089</v>
      </c>
      <c r="I19" s="865">
        <v>570.225511</v>
      </c>
      <c r="J19" s="65">
        <f t="shared" si="1"/>
        <v>0.03103211469635985</v>
      </c>
      <c r="K19" s="66">
        <f t="shared" si="2"/>
        <v>18375.335248</v>
      </c>
      <c r="L19" s="6"/>
      <c r="N19" s="20"/>
      <c r="O19" s="19"/>
    </row>
    <row r="20" spans="1:15" ht="12.75">
      <c r="A20" s="6"/>
      <c r="B20" s="60">
        <v>2004</v>
      </c>
      <c r="C20" s="64">
        <v>11074.758817645607</v>
      </c>
      <c r="D20" s="1006">
        <f t="shared" si="3"/>
        <v>0.5638692299771525</v>
      </c>
      <c r="E20" s="865">
        <v>3243.4254471762724</v>
      </c>
      <c r="F20" s="1006">
        <f t="shared" si="3"/>
        <v>0.16513838716502063</v>
      </c>
      <c r="G20" s="865">
        <v>4720.009164178123</v>
      </c>
      <c r="H20" s="1006">
        <f t="shared" si="0"/>
        <v>0.24031836509610105</v>
      </c>
      <c r="I20" s="865">
        <v>602.4576809999999</v>
      </c>
      <c r="J20" s="65">
        <f t="shared" si="1"/>
        <v>0.030674017761725812</v>
      </c>
      <c r="K20" s="66">
        <f t="shared" si="2"/>
        <v>19640.651110000003</v>
      </c>
      <c r="L20" s="6"/>
      <c r="N20" s="20"/>
      <c r="O20" s="19"/>
    </row>
    <row r="21" spans="1:15" ht="12.75">
      <c r="A21" s="6"/>
      <c r="B21" s="60">
        <v>2005</v>
      </c>
      <c r="C21" s="64">
        <v>11588.277687039452</v>
      </c>
      <c r="D21" s="1006">
        <f t="shared" si="3"/>
        <v>0.5597827813769248</v>
      </c>
      <c r="E21" s="865">
        <v>3460.342893311222</v>
      </c>
      <c r="F21" s="1006">
        <f t="shared" si="3"/>
        <v>0.16715515641310993</v>
      </c>
      <c r="G21" s="865">
        <v>5020.735608899325</v>
      </c>
      <c r="H21" s="1006">
        <f t="shared" si="0"/>
        <v>0.2425314114496214</v>
      </c>
      <c r="I21" s="865">
        <v>632.0266909722222</v>
      </c>
      <c r="J21" s="65">
        <f t="shared" si="1"/>
        <v>0.03053065076034368</v>
      </c>
      <c r="K21" s="66">
        <f t="shared" si="2"/>
        <v>20701.382880222223</v>
      </c>
      <c r="L21" s="6"/>
      <c r="N21" s="20"/>
      <c r="O21" s="19"/>
    </row>
    <row r="22" spans="1:15" ht="12.75">
      <c r="A22" s="6"/>
      <c r="B22" s="60">
        <v>2006</v>
      </c>
      <c r="C22" s="64">
        <v>12481.42189750605</v>
      </c>
      <c r="D22" s="1006">
        <f t="shared" si="3"/>
        <v>0.5599545829790685</v>
      </c>
      <c r="E22" s="865">
        <v>3760.348472826244</v>
      </c>
      <c r="F22" s="1006">
        <f t="shared" si="3"/>
        <v>0.16870067995843707</v>
      </c>
      <c r="G22" s="865">
        <v>5404.368964667703</v>
      </c>
      <c r="H22" s="1006">
        <f t="shared" si="0"/>
        <v>0.24245644404346256</v>
      </c>
      <c r="I22" s="865">
        <v>643.9218179999998</v>
      </c>
      <c r="J22" s="65">
        <f t="shared" si="1"/>
        <v>0.028888293019031713</v>
      </c>
      <c r="K22" s="66">
        <f aca="true" t="shared" si="4" ref="K22:K29">C22+E22+G22+I22</f>
        <v>22290.061153</v>
      </c>
      <c r="L22" s="6"/>
      <c r="N22" s="20"/>
      <c r="O22" s="19"/>
    </row>
    <row r="23" spans="1:15" ht="12.75">
      <c r="A23" s="6"/>
      <c r="B23" s="60">
        <v>2007</v>
      </c>
      <c r="C23" s="64">
        <v>14165.658529274375</v>
      </c>
      <c r="D23" s="1006">
        <f t="shared" si="3"/>
        <v>0.5730039078305956</v>
      </c>
      <c r="E23" s="865">
        <v>4023.5192699368326</v>
      </c>
      <c r="F23" s="1006">
        <f t="shared" si="3"/>
        <v>0.16275221234092582</v>
      </c>
      <c r="G23" s="865">
        <v>5877.1253377888</v>
      </c>
      <c r="H23" s="1006">
        <f t="shared" si="0"/>
        <v>0.23773097300092091</v>
      </c>
      <c r="I23" s="865">
        <v>655.445416</v>
      </c>
      <c r="J23" s="65">
        <f t="shared" si="1"/>
        <v>0.02651290682755776</v>
      </c>
      <c r="K23" s="66">
        <f t="shared" si="4"/>
        <v>24721.748553000005</v>
      </c>
      <c r="L23" s="6"/>
      <c r="N23" s="20"/>
      <c r="O23" s="19"/>
    </row>
    <row r="24" spans="1:15" ht="12.75">
      <c r="A24" s="6"/>
      <c r="B24" s="60">
        <v>2008</v>
      </c>
      <c r="C24" s="64">
        <v>15437.253867346535</v>
      </c>
      <c r="D24" s="1006">
        <f t="shared" si="3"/>
        <v>0.5725046917813132</v>
      </c>
      <c r="E24" s="865">
        <v>4494.896012311768</v>
      </c>
      <c r="F24" s="1006">
        <f t="shared" si="3"/>
        <v>0.16669733349147337</v>
      </c>
      <c r="G24" s="865">
        <v>6357.319264341718</v>
      </c>
      <c r="H24" s="1006">
        <f t="shared" si="0"/>
        <v>0.2357670047576253</v>
      </c>
      <c r="I24" s="865">
        <v>674.9454520000002</v>
      </c>
      <c r="J24" s="65">
        <f t="shared" si="1"/>
        <v>0.02503096996958812</v>
      </c>
      <c r="K24" s="66">
        <f t="shared" si="4"/>
        <v>26964.41459600002</v>
      </c>
      <c r="L24" s="6"/>
      <c r="N24" s="20"/>
      <c r="O24" s="19"/>
    </row>
    <row r="25" spans="1:15" ht="12.75">
      <c r="A25" s="6"/>
      <c r="B25" s="60">
        <v>2009</v>
      </c>
      <c r="C25" s="64">
        <v>14942.95020594519</v>
      </c>
      <c r="D25" s="1006">
        <f t="shared" si="3"/>
        <v>0.5516648952994828</v>
      </c>
      <c r="E25" s="865">
        <v>4815.08100910374</v>
      </c>
      <c r="F25" s="1006">
        <f t="shared" si="3"/>
        <v>0.1777635021288437</v>
      </c>
      <c r="G25" s="865">
        <v>6644.5992379510635</v>
      </c>
      <c r="H25" s="1006">
        <f t="shared" si="0"/>
        <v>0.24530578583156273</v>
      </c>
      <c r="I25" s="865">
        <v>684.375324</v>
      </c>
      <c r="J25" s="65">
        <f t="shared" si="1"/>
        <v>0.025265816740110636</v>
      </c>
      <c r="K25" s="66">
        <f t="shared" si="4"/>
        <v>27087.005776999995</v>
      </c>
      <c r="L25" s="6"/>
      <c r="N25" s="20"/>
      <c r="O25" s="19"/>
    </row>
    <row r="26" spans="1:15" ht="12.75">
      <c r="A26" s="6"/>
      <c r="B26" s="60">
        <v>2010</v>
      </c>
      <c r="C26" s="64">
        <v>16434.708415297537</v>
      </c>
      <c r="D26" s="1006">
        <f t="shared" si="3"/>
        <v>0.5583167088137729</v>
      </c>
      <c r="E26" s="865">
        <v>5205.824371189548</v>
      </c>
      <c r="F26" s="1006">
        <f t="shared" si="3"/>
        <v>0.17685125017975306</v>
      </c>
      <c r="G26" s="865">
        <v>7086.245333512921</v>
      </c>
      <c r="H26" s="1006">
        <f t="shared" si="0"/>
        <v>0.24073254434932814</v>
      </c>
      <c r="I26" s="865">
        <v>709.3970040000002</v>
      </c>
      <c r="J26" s="65">
        <f t="shared" si="1"/>
        <v>0.024099496657145926</v>
      </c>
      <c r="K26" s="66">
        <f t="shared" si="4"/>
        <v>29436.175124000005</v>
      </c>
      <c r="L26" s="6"/>
      <c r="N26" s="20"/>
      <c r="O26" s="19"/>
    </row>
    <row r="27" spans="1:15" ht="12.75">
      <c r="A27" s="6"/>
      <c r="B27" s="60">
        <v>2011</v>
      </c>
      <c r="C27" s="64">
        <v>17841.423398594416</v>
      </c>
      <c r="D27" s="1006">
        <f>+C27/$K27</f>
        <v>0.5606922283097572</v>
      </c>
      <c r="E27" s="865">
        <v>5563.117986117448</v>
      </c>
      <c r="F27" s="1006">
        <f>+E27/$K27</f>
        <v>0.1748289332246898</v>
      </c>
      <c r="G27" s="865">
        <v>7663.0902881815</v>
      </c>
      <c r="H27" s="1006">
        <f>+G27/$K27</f>
        <v>0.24082356398525034</v>
      </c>
      <c r="I27" s="865">
        <v>752.7191323577373</v>
      </c>
      <c r="J27" s="65">
        <f>+I27/$K27</f>
        <v>0.023655274480302746</v>
      </c>
      <c r="K27" s="66">
        <f t="shared" si="4"/>
        <v>31820.3508052511</v>
      </c>
      <c r="L27" s="6"/>
      <c r="N27" s="20"/>
      <c r="O27" s="19"/>
    </row>
    <row r="28" spans="1:15" ht="12.75">
      <c r="A28" s="6"/>
      <c r="B28" s="60">
        <v>2012</v>
      </c>
      <c r="C28" s="64">
        <v>18690.461999999996</v>
      </c>
      <c r="D28" s="1006">
        <f>+C28/$K28</f>
        <v>0.5554671505917138</v>
      </c>
      <c r="E28" s="865">
        <v>6061.772</v>
      </c>
      <c r="F28" s="1006">
        <f>+E28/$K28</f>
        <v>0.18015152436449322</v>
      </c>
      <c r="G28" s="865">
        <v>8110.438</v>
      </c>
      <c r="H28" s="1006">
        <f>+G28/$K28</f>
        <v>0.24103641129420764</v>
      </c>
      <c r="I28" s="865">
        <v>785.5140000000001</v>
      </c>
      <c r="J28" s="65">
        <f>+I28/$K28</f>
        <v>0.023344913749585194</v>
      </c>
      <c r="K28" s="66">
        <f t="shared" si="4"/>
        <v>33648.186</v>
      </c>
      <c r="L28" s="6"/>
      <c r="N28" s="20"/>
      <c r="O28" s="19"/>
    </row>
    <row r="29" spans="1:15" ht="12.75">
      <c r="A29" s="6"/>
      <c r="B29" s="60">
        <v>2013</v>
      </c>
      <c r="C29" s="865">
        <v>19214.618997431797</v>
      </c>
      <c r="D29" s="1006">
        <f>+C29/$K29</f>
        <v>0.5395901824213133</v>
      </c>
      <c r="E29" s="865">
        <v>6760.1032092000005</v>
      </c>
      <c r="F29" s="1006">
        <f>+E29/$K29</f>
        <v>0.18983906599067507</v>
      </c>
      <c r="G29" s="865">
        <v>8757.884514745476</v>
      </c>
      <c r="H29" s="1006">
        <f>+G29/$K29</f>
        <v>0.24594130664614966</v>
      </c>
      <c r="I29" s="865">
        <v>877.0459806227276</v>
      </c>
      <c r="J29" s="65">
        <f>+I29/$K29</f>
        <v>0.02462944494186175</v>
      </c>
      <c r="K29" s="66">
        <f t="shared" si="4"/>
        <v>35609.65270200001</v>
      </c>
      <c r="L29" s="6"/>
      <c r="N29" s="20"/>
      <c r="O29" s="19"/>
    </row>
    <row r="30" spans="1:14" ht="13.5" thickBot="1">
      <c r="A30" s="6"/>
      <c r="B30" s="1003"/>
      <c r="C30" s="865"/>
      <c r="D30" s="1007"/>
      <c r="E30" s="865"/>
      <c r="F30" s="1007"/>
      <c r="G30" s="865"/>
      <c r="H30" s="1006"/>
      <c r="I30" s="865"/>
      <c r="J30" s="65"/>
      <c r="K30" s="66"/>
      <c r="L30" s="6"/>
      <c r="M30" s="23"/>
      <c r="N30" s="20"/>
    </row>
    <row r="31" spans="1:14" ht="12.75">
      <c r="A31" s="6"/>
      <c r="B31" s="213" t="s">
        <v>254</v>
      </c>
      <c r="C31" s="67">
        <f>(C29/C28)-1</f>
        <v>0.02804408994447538</v>
      </c>
      <c r="D31" s="46"/>
      <c r="E31" s="537">
        <f>(E29/E28)-1</f>
        <v>0.11520248686357726</v>
      </c>
      <c r="F31" s="46"/>
      <c r="G31" s="67">
        <f>(G29/G28)-1</f>
        <v>0.07982879774747986</v>
      </c>
      <c r="H31" s="46"/>
      <c r="I31" s="537">
        <f>(I29/I28)-1</f>
        <v>0.11652495133470242</v>
      </c>
      <c r="J31" s="152"/>
      <c r="K31" s="50">
        <f>(K29/K28)-1</f>
        <v>0.05829338621701652</v>
      </c>
      <c r="L31" s="6"/>
      <c r="M31" s="23"/>
      <c r="N31" s="20"/>
    </row>
    <row r="32" spans="1:14" ht="12.75">
      <c r="A32" s="6"/>
      <c r="B32" s="154" t="s">
        <v>255</v>
      </c>
      <c r="C32" s="68">
        <f>((C29/C24)^(1/5))-1</f>
        <v>0.0447499191891072</v>
      </c>
      <c r="D32" s="48"/>
      <c r="E32" s="538">
        <f>((E29/E24)^(1/5))-1</f>
        <v>0.08504246535116766</v>
      </c>
      <c r="F32" s="151"/>
      <c r="G32" s="148">
        <f>((G29/G24)^(1/5))-1</f>
        <v>0.0661665145577155</v>
      </c>
      <c r="H32" s="48"/>
      <c r="I32" s="68">
        <f>((I29/I24)^(1/5))-1</f>
        <v>0.05378190656144288</v>
      </c>
      <c r="J32" s="149"/>
      <c r="K32" s="51">
        <f>((K29/K24)^(1/5))-1</f>
        <v>0.05719560351571751</v>
      </c>
      <c r="L32" s="150"/>
      <c r="M32" s="23"/>
      <c r="N32" s="20"/>
    </row>
    <row r="33" spans="1:14" ht="12.75">
      <c r="A33" s="6"/>
      <c r="B33" s="215" t="s">
        <v>256</v>
      </c>
      <c r="C33" s="68">
        <f>+C29/C16-1</f>
        <v>1.294278303349417</v>
      </c>
      <c r="D33" s="48"/>
      <c r="E33" s="538">
        <f>+E29/E16-1</f>
        <v>1.5099276899233884</v>
      </c>
      <c r="F33" s="48"/>
      <c r="G33" s="68">
        <f>+G29/G16-1</f>
        <v>1.2249357880400589</v>
      </c>
      <c r="H33" s="70"/>
      <c r="I33" s="68">
        <f>+I29/I16-1</f>
        <v>0.6211811915833547</v>
      </c>
      <c r="J33" s="37"/>
      <c r="K33" s="51">
        <f>+K29/K16-1</f>
        <v>1.2906585877549945</v>
      </c>
      <c r="L33" s="6"/>
      <c r="M33" s="23"/>
      <c r="N33" s="20"/>
    </row>
    <row r="34" spans="1:14" ht="13.5" thickBot="1">
      <c r="A34" s="6"/>
      <c r="B34" s="214" t="s">
        <v>257</v>
      </c>
      <c r="C34" s="539">
        <f>+(C29/C16)^(1/13)-1</f>
        <v>0.065962698411413</v>
      </c>
      <c r="D34" s="609"/>
      <c r="E34" s="610">
        <f>+(E29/E16)^(1/13)-1</f>
        <v>0.0733544718000656</v>
      </c>
      <c r="F34" s="609"/>
      <c r="G34" s="539">
        <f>+(G29/G16)^(1/13)-1</f>
        <v>0.06344915219955172</v>
      </c>
      <c r="H34" s="609"/>
      <c r="I34" s="539">
        <f>+(I29/I16)^(1/13)-1</f>
        <v>0.03786505380124572</v>
      </c>
      <c r="J34" s="610"/>
      <c r="K34" s="611">
        <f>+(K29/K16)^(1/13)-1</f>
        <v>0.0658332360710927</v>
      </c>
      <c r="L34" s="6"/>
      <c r="N34" s="20"/>
    </row>
    <row r="35" spans="1:14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N35" s="20"/>
    </row>
    <row r="36" spans="4:14" ht="15.75">
      <c r="D36" s="19"/>
      <c r="E36" s="19"/>
      <c r="F36" s="19"/>
      <c r="G36" s="19"/>
      <c r="H36" s="19"/>
      <c r="I36" s="16"/>
      <c r="J36" s="16"/>
      <c r="K36" s="17"/>
      <c r="L36" s="17"/>
      <c r="M36" s="17"/>
      <c r="N36" s="20"/>
    </row>
    <row r="37" ht="12.75">
      <c r="N37" s="20"/>
    </row>
    <row r="38" ht="12.75">
      <c r="N38" s="21"/>
    </row>
    <row r="57" spans="15:37" ht="12.75">
      <c r="O57" s="112"/>
      <c r="P57" s="178">
        <v>1992</v>
      </c>
      <c r="Q57" s="178">
        <v>1993</v>
      </c>
      <c r="R57" s="178">
        <v>1994</v>
      </c>
      <c r="S57" s="178">
        <v>1995</v>
      </c>
      <c r="T57" s="178">
        <v>1996</v>
      </c>
      <c r="U57" s="178">
        <v>1997</v>
      </c>
      <c r="V57" s="178">
        <v>1998</v>
      </c>
      <c r="W57" s="178">
        <v>1999</v>
      </c>
      <c r="X57" s="178">
        <v>2000</v>
      </c>
      <c r="Y57" s="178">
        <v>2001</v>
      </c>
      <c r="Z57" s="178">
        <v>2002</v>
      </c>
      <c r="AA57" s="178">
        <v>2003</v>
      </c>
      <c r="AB57" s="178">
        <v>2004</v>
      </c>
      <c r="AC57" s="178">
        <v>2005</v>
      </c>
      <c r="AD57" s="178">
        <v>2006</v>
      </c>
      <c r="AE57" s="178">
        <v>2007</v>
      </c>
      <c r="AF57" s="178">
        <v>2008</v>
      </c>
      <c r="AG57" s="178">
        <v>2009</v>
      </c>
      <c r="AH57" s="178">
        <v>2010</v>
      </c>
      <c r="AI57" s="178">
        <v>2011</v>
      </c>
      <c r="AJ57" s="178">
        <v>2012</v>
      </c>
      <c r="AK57" s="178">
        <v>2013</v>
      </c>
    </row>
    <row r="58" spans="15:37" ht="12.75">
      <c r="O58" s="121" t="s">
        <v>40</v>
      </c>
      <c r="P58" s="126">
        <v>3109.254</v>
      </c>
      <c r="Q58" s="126">
        <v>3174.6043</v>
      </c>
      <c r="R58" s="126">
        <v>3855.262488</v>
      </c>
      <c r="S58" s="126">
        <v>3963.76629</v>
      </c>
      <c r="T58" s="126">
        <v>4305.296401</v>
      </c>
      <c r="U58" s="126">
        <v>6058.131118</v>
      </c>
      <c r="V58" s="126">
        <v>7473.848437</v>
      </c>
      <c r="W58" s="126">
        <v>7855.6</v>
      </c>
      <c r="X58" s="126">
        <v>8375.016653115</v>
      </c>
      <c r="Y58" s="126">
        <v>9280.560039965001</v>
      </c>
      <c r="Z58" s="126">
        <v>9567.606076848</v>
      </c>
      <c r="AA58" s="126">
        <v>10038.680803439998</v>
      </c>
      <c r="AB58" s="126">
        <v>11074.758817645607</v>
      </c>
      <c r="AC58" s="115">
        <v>11588.277687039452</v>
      </c>
      <c r="AD58" s="127">
        <v>12481.42189750605</v>
      </c>
      <c r="AE58" s="127">
        <v>14165.658529274375</v>
      </c>
      <c r="AF58" s="127">
        <v>15437.253867346535</v>
      </c>
      <c r="AG58" s="127">
        <v>14942.95020594519</v>
      </c>
      <c r="AH58" s="127">
        <v>16434.708415297537</v>
      </c>
      <c r="AI58" s="127">
        <f>$C27</f>
        <v>17841.423398594416</v>
      </c>
      <c r="AJ58" s="127">
        <f>$C28</f>
        <v>18690.461999999996</v>
      </c>
      <c r="AK58" s="127">
        <f>C29</f>
        <v>19214.618997431797</v>
      </c>
    </row>
    <row r="59" spans="15:37" ht="12.75">
      <c r="O59" s="121" t="s">
        <v>41</v>
      </c>
      <c r="P59" s="126">
        <v>1020.6469999999999</v>
      </c>
      <c r="Q59" s="126">
        <v>1601.7885</v>
      </c>
      <c r="R59" s="126">
        <v>1848.285648</v>
      </c>
      <c r="S59" s="126">
        <v>2248.668505</v>
      </c>
      <c r="T59" s="126">
        <v>2350.988429</v>
      </c>
      <c r="U59" s="126">
        <v>2480.103368</v>
      </c>
      <c r="V59" s="126">
        <v>2360.432139</v>
      </c>
      <c r="W59" s="126">
        <v>2420.3</v>
      </c>
      <c r="X59" s="126">
        <v>2693.3458028849996</v>
      </c>
      <c r="Y59" s="126">
        <v>2762.2040670349998</v>
      </c>
      <c r="Z59" s="126">
        <v>3013.11527</v>
      </c>
      <c r="AA59" s="126">
        <v>3341.09110656</v>
      </c>
      <c r="AB59" s="126">
        <v>3243.4254471762724</v>
      </c>
      <c r="AC59" s="115">
        <v>3460.342893311222</v>
      </c>
      <c r="AD59" s="127">
        <v>3760.348472826244</v>
      </c>
      <c r="AE59" s="127">
        <v>4023.5192699368326</v>
      </c>
      <c r="AF59" s="127">
        <v>4494.896012311768</v>
      </c>
      <c r="AG59" s="127">
        <v>4815.08100910374</v>
      </c>
      <c r="AH59" s="127">
        <v>5205.824371189548</v>
      </c>
      <c r="AI59" s="127">
        <f>$E27</f>
        <v>5563.117986117448</v>
      </c>
      <c r="AJ59" s="127">
        <f>$E28</f>
        <v>6061.772</v>
      </c>
      <c r="AK59" s="127">
        <f>E29</f>
        <v>6760.1032092000005</v>
      </c>
    </row>
    <row r="60" spans="15:37" ht="12.75">
      <c r="O60" s="121" t="s">
        <v>42</v>
      </c>
      <c r="P60" s="126">
        <v>2748.592</v>
      </c>
      <c r="Q60" s="126">
        <v>3063.5259</v>
      </c>
      <c r="R60" s="126">
        <v>3136.4847360000003</v>
      </c>
      <c r="S60" s="126">
        <v>3154.1445019999996</v>
      </c>
      <c r="T60" s="126">
        <v>3185.061631</v>
      </c>
      <c r="U60" s="126">
        <v>3385.523</v>
      </c>
      <c r="V60" s="126">
        <v>3639.3</v>
      </c>
      <c r="W60" s="126">
        <v>3772.7</v>
      </c>
      <c r="X60" s="126">
        <v>3936.241469000001</v>
      </c>
      <c r="Y60" s="126">
        <v>4043.968830999999</v>
      </c>
      <c r="Z60" s="126">
        <v>4464.875400000001</v>
      </c>
      <c r="AA60" s="126">
        <v>4425.337826999999</v>
      </c>
      <c r="AB60" s="126">
        <v>4720.009164178123</v>
      </c>
      <c r="AC60" s="115">
        <v>5020.735608899325</v>
      </c>
      <c r="AD60" s="127">
        <v>5404.368964667703</v>
      </c>
      <c r="AE60" s="127">
        <v>5877.1253377888</v>
      </c>
      <c r="AF60" s="127">
        <v>6357.319264341718</v>
      </c>
      <c r="AG60" s="127">
        <v>6644.5992379510635</v>
      </c>
      <c r="AH60" s="127">
        <v>7086.245333512921</v>
      </c>
      <c r="AI60" s="127">
        <f>$G27</f>
        <v>7663.0902881815</v>
      </c>
      <c r="AJ60" s="127">
        <f>$G28</f>
        <v>8110.438</v>
      </c>
      <c r="AK60" s="127">
        <f>G29</f>
        <v>8757.884514745476</v>
      </c>
    </row>
    <row r="61" spans="15:37" ht="12.75">
      <c r="O61" s="121" t="s">
        <v>43</v>
      </c>
      <c r="P61" s="126">
        <v>382.728</v>
      </c>
      <c r="Q61" s="126">
        <v>471.45322</v>
      </c>
      <c r="R61" s="126">
        <v>494.74312799999996</v>
      </c>
      <c r="S61" s="126">
        <v>482.67683</v>
      </c>
      <c r="T61" s="126">
        <v>489.44557</v>
      </c>
      <c r="U61" s="126">
        <v>527.473</v>
      </c>
      <c r="V61" s="126">
        <v>535.0651</v>
      </c>
      <c r="W61" s="126">
        <v>543.3</v>
      </c>
      <c r="X61" s="126">
        <v>540.9919540000001</v>
      </c>
      <c r="Y61" s="126">
        <v>542.021618</v>
      </c>
      <c r="Z61" s="126">
        <v>559.7291200000001</v>
      </c>
      <c r="AA61" s="126">
        <v>570.225511</v>
      </c>
      <c r="AB61" s="126">
        <v>602.4576809999999</v>
      </c>
      <c r="AC61" s="115">
        <v>632.0266909722222</v>
      </c>
      <c r="AD61" s="127">
        <v>643.9218179999998</v>
      </c>
      <c r="AE61" s="127">
        <v>655.445416</v>
      </c>
      <c r="AF61" s="127">
        <v>674.9454520000002</v>
      </c>
      <c r="AG61" s="127">
        <v>684.375324</v>
      </c>
      <c r="AH61" s="127">
        <v>709.3970040000002</v>
      </c>
      <c r="AI61" s="127">
        <f>$I27</f>
        <v>752.7191323577373</v>
      </c>
      <c r="AJ61" s="127">
        <f>$I28</f>
        <v>785.5140000000001</v>
      </c>
      <c r="AK61" s="127">
        <f>I29</f>
        <v>877.0459806227276</v>
      </c>
    </row>
    <row r="62" spans="15:37" ht="12.75">
      <c r="O62" s="121" t="s">
        <v>3</v>
      </c>
      <c r="P62" s="126">
        <f>SUM(P58:P61)</f>
        <v>7261.2210000000005</v>
      </c>
      <c r="Q62" s="126">
        <f aca="true" t="shared" si="5" ref="Q62:AH62">SUM(Q58:Q61)</f>
        <v>8311.37192</v>
      </c>
      <c r="R62" s="126">
        <f t="shared" si="5"/>
        <v>9334.776</v>
      </c>
      <c r="S62" s="126">
        <f t="shared" si="5"/>
        <v>9849.256127</v>
      </c>
      <c r="T62" s="126">
        <f t="shared" si="5"/>
        <v>10330.792030999999</v>
      </c>
      <c r="U62" s="126">
        <f t="shared" si="5"/>
        <v>12451.230486000002</v>
      </c>
      <c r="V62" s="126">
        <f t="shared" si="5"/>
        <v>14008.645676</v>
      </c>
      <c r="W62" s="126">
        <f t="shared" si="5"/>
        <v>14591.900000000001</v>
      </c>
      <c r="X62" s="126">
        <f t="shared" si="5"/>
        <v>15545.595879</v>
      </c>
      <c r="Y62" s="126">
        <f t="shared" si="5"/>
        <v>16628.754556</v>
      </c>
      <c r="Z62" s="126">
        <f t="shared" si="5"/>
        <v>17605.325866848</v>
      </c>
      <c r="AA62" s="126">
        <f t="shared" si="5"/>
        <v>18375.335248</v>
      </c>
      <c r="AB62" s="126">
        <f t="shared" si="5"/>
        <v>19640.651110000003</v>
      </c>
      <c r="AC62" s="115">
        <f t="shared" si="5"/>
        <v>20701.382880222223</v>
      </c>
      <c r="AD62" s="127">
        <f t="shared" si="5"/>
        <v>22290.061153</v>
      </c>
      <c r="AE62" s="127">
        <f t="shared" si="5"/>
        <v>24721.748553000005</v>
      </c>
      <c r="AF62" s="127">
        <f t="shared" si="5"/>
        <v>26964.41459600002</v>
      </c>
      <c r="AG62" s="127">
        <f t="shared" si="5"/>
        <v>27087.005776999995</v>
      </c>
      <c r="AH62" s="127">
        <f t="shared" si="5"/>
        <v>29436.175124000005</v>
      </c>
      <c r="AI62" s="127">
        <f>SUM(AI58:AI61)</f>
        <v>31820.3508052511</v>
      </c>
      <c r="AJ62" s="127">
        <f>SUM(AJ58:AJ61)</f>
        <v>33648.186</v>
      </c>
      <c r="AK62" s="127">
        <f>SUM(AK58:AK61)</f>
        <v>35609.65270200001</v>
      </c>
    </row>
    <row r="65" spans="16:37" ht="12.75">
      <c r="P65">
        <v>7261.2210000000005</v>
      </c>
      <c r="Q65">
        <v>8311.37192</v>
      </c>
      <c r="R65">
        <v>9334.776</v>
      </c>
      <c r="S65">
        <v>9849.256127</v>
      </c>
      <c r="T65">
        <v>10330.792030999999</v>
      </c>
      <c r="U65">
        <v>12451.230486000002</v>
      </c>
      <c r="V65">
        <v>14008.645676</v>
      </c>
      <c r="W65">
        <v>14591.900000000001</v>
      </c>
      <c r="X65">
        <v>15545.595879</v>
      </c>
      <c r="Y65">
        <v>16628.754556</v>
      </c>
      <c r="Z65">
        <v>17605.325866848</v>
      </c>
      <c r="AA65">
        <v>18375.335248</v>
      </c>
      <c r="AB65">
        <v>19640.651110000003</v>
      </c>
      <c r="AC65">
        <v>20701.382880222223</v>
      </c>
      <c r="AD65">
        <v>22290.061153</v>
      </c>
      <c r="AE65">
        <v>24721.748553000005</v>
      </c>
      <c r="AF65">
        <v>26964.41459600002</v>
      </c>
      <c r="AG65">
        <v>27087.005776999995</v>
      </c>
      <c r="AH65">
        <v>29436.175124000005</v>
      </c>
      <c r="AI65">
        <v>31820.3508052511</v>
      </c>
      <c r="AJ65">
        <v>33648.186</v>
      </c>
      <c r="AK65">
        <v>35609.65270200001</v>
      </c>
    </row>
  </sheetData>
  <sheetProtection/>
  <mergeCells count="6">
    <mergeCell ref="I6:J7"/>
    <mergeCell ref="K6:K7"/>
    <mergeCell ref="C6:D7"/>
    <mergeCell ref="B6:B7"/>
    <mergeCell ref="E6:F7"/>
    <mergeCell ref="G6:H7"/>
  </mergeCells>
  <printOptions/>
  <pageMargins left="0.9" right="0.21" top="0.94" bottom="1" header="0" footer="0"/>
  <pageSetup fitToHeight="1" fitToWidth="1" horizontalDpi="600" verticalDpi="600" orientation="portrait" paperSize="9" scale="75" r:id="rId2"/>
  <ignoredErrors>
    <ignoredError sqref="I10 I13 G10 G13 E8:E1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Evoluciones 2002</dc:title>
  <dc:subject/>
  <dc:creator>POCHOA</dc:creator>
  <cp:keywords/>
  <dc:description>Contiene Pot.; Prod.; Incre. y Crec. Med; Vent. y Núm.Clien.</dc:description>
  <cp:lastModifiedBy>Sandoval Ysela</cp:lastModifiedBy>
  <cp:lastPrinted>2014-09-22T16:35:57Z</cp:lastPrinted>
  <dcterms:created xsi:type="dcterms:W3CDTF">2001-10-29T20:06:41Z</dcterms:created>
  <dcterms:modified xsi:type="dcterms:W3CDTF">2014-09-22T16:36:38Z</dcterms:modified>
  <cp:category/>
  <cp:version/>
  <cp:contentType/>
  <cp:contentStatus/>
</cp:coreProperties>
</file>